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160" activeTab="0"/>
  </bookViews>
  <sheets>
    <sheet name="Смета для ТЕР МО 421пр (12" sheetId="1" r:id="rId1"/>
    <sheet name="Ведомость объемов работ" sheetId="2" r:id="rId2"/>
    <sheet name="Акт КС-2 8 граф" sheetId="3" r:id="rId3"/>
    <sheet name="Дефектная ведомость" sheetId="4" r:id="rId4"/>
    <sheet name="Source" sheetId="5" r:id="rId5"/>
    <sheet name="SourceObSm" sheetId="6" r:id="rId6"/>
    <sheet name="SmtRes" sheetId="7" r:id="rId7"/>
    <sheet name="EtalonRes" sheetId="8" r:id="rId8"/>
  </sheets>
  <definedNames>
    <definedName name="_xlnm.Print_Titles" localSheetId="2">'Акт КС-2 8 граф'!$35:$35</definedName>
    <definedName name="_xlnm.Print_Titles" localSheetId="1">'Ведомость объемов работ'!$17:$17</definedName>
    <definedName name="_xlnm.Print_Titles" localSheetId="3">'Дефектная ведомость'!$18:$18</definedName>
    <definedName name="_xlnm.Print_Titles" localSheetId="0">'Смета для ТЕР МО 421пр (12'!$46:$46</definedName>
    <definedName name="_xlnm.Print_Area" localSheetId="2">'Акт КС-2 8 граф'!$A$1:$H$123</definedName>
    <definedName name="_xlnm.Print_Area" localSheetId="1">'Ведомость объемов работ'!$A$1:$H$33</definedName>
    <definedName name="_xlnm.Print_Area" localSheetId="3">'Дефектная ведомость'!$A$1:$E$34</definedName>
    <definedName name="_xlnm.Print_Area" localSheetId="0">'Смета для ТЕР МО 421пр (12'!$A$1:$L$161</definedName>
  </definedNames>
  <calcPr fullCalcOnLoad="1"/>
</workbook>
</file>

<file path=xl/sharedStrings.xml><?xml version="1.0" encoding="utf-8"?>
<sst xmlns="http://schemas.openxmlformats.org/spreadsheetml/2006/main" count="2388" uniqueCount="453">
  <si>
    <t>Smeta.RU  (495) 974-1589</t>
  </si>
  <si>
    <t>_PS_</t>
  </si>
  <si>
    <t>Smeta.RU</t>
  </si>
  <si>
    <t/>
  </si>
  <si>
    <t>Выполнение работ по замене остекления строения 3 ИПУ РАН</t>
  </si>
  <si>
    <t>Степанова А.М.</t>
  </si>
  <si>
    <t>Вед. инженер РЕСО</t>
  </si>
  <si>
    <t>Покшин В.И.</t>
  </si>
  <si>
    <t>Заведующий РЕСО</t>
  </si>
  <si>
    <t>Муравьев К.В.</t>
  </si>
  <si>
    <t>Главный инженер</t>
  </si>
  <si>
    <t>ИПУ РАН</t>
  </si>
  <si>
    <t>Сметные нормы списания</t>
  </si>
  <si>
    <t>Коды ценников</t>
  </si>
  <si>
    <t>ФЕР-2020 И9 приказы НР № 812/пр, СП № 774/пр</t>
  </si>
  <si>
    <t>Версия 1.7.0 ГСН (ГЭСН, ФЕР) и ТЕР (Методики НР (812/пр, 636/пр, 611/пр) и СП (774/пр и 317/пр) применять с 08.01.2023 г.)</t>
  </si>
  <si>
    <t>ФЕР-2020 - изменения И9</t>
  </si>
  <si>
    <t>Поправки для ГСН (ФЕР) 2020 от 11.09.2022 г И9 (в ред. 557/пр) Капитальный ремонт жилых и общественных зданий</t>
  </si>
  <si>
    <t>ГСН</t>
  </si>
  <si>
    <t>вед.инженер по эксплуатации и ремонту</t>
  </si>
  <si>
    <t>Киселев В.А.</t>
  </si>
  <si>
    <t>Главный механик</t>
  </si>
  <si>
    <t>Корниенко С.В.</t>
  </si>
  <si>
    <t>Зам. директора по развитию и информатизации</t>
  </si>
  <si>
    <t>Новый раздел</t>
  </si>
  <si>
    <t>Замена стекол</t>
  </si>
  <si>
    <t>1</t>
  </si>
  <si>
    <t>08-07-002-01</t>
  </si>
  <si>
    <t>Установка и разборка внутренних трубчатых инвентарных лесов: при высоте помещений до 6 м</t>
  </si>
  <si>
    <t>100 м2 горизонтальной проекции</t>
  </si>
  <si>
    <t>ФЕР-2001, 08-07-002-01, приказ Минстроя России № 876/пр от 26.12.2019</t>
  </si>
  <si>
    <t>)*1,25</t>
  </si>
  <si>
    <t>)*1,15</t>
  </si>
  <si>
    <t>)*0,9</t>
  </si>
  <si>
    <t>)*0,85</t>
  </si>
  <si>
    <t>Общестроительные работы</t>
  </si>
  <si>
    <t>Конструкции из кирпича и блоков</t>
  </si>
  <si>
    <t>ФЕР-08</t>
  </si>
  <si>
    <t>Поправка: М-ка 421/пр 04.08.20 п.58 п.п. б)</t>
  </si>
  <si>
    <t>Пр/812-008.0-1</t>
  </si>
  <si>
    <t>Пр/774-008.0</t>
  </si>
  <si>
    <t>Письмо Минстроя России от 28.08.2023 № 52355-ИФ/09</t>
  </si>
  <si>
    <t>2</t>
  </si>
  <si>
    <t>63-3-6</t>
  </si>
  <si>
    <t>Смена стекол толщиной 4-6 мм в металлических переплетах на штапиках: по эластичной прокладке при площади стекол (Применительно)</t>
  </si>
  <si>
    <t>100 м2</t>
  </si>
  <si>
    <t>ФЕРр-2001, 63-3-6, приказ Минстроя России № 876/пр от 26.12.2019</t>
  </si>
  <si>
    <t>Ремонтно-строительные работы</t>
  </si>
  <si>
    <t>Стекольные, обойные и облицовочные работы</t>
  </si>
  <si>
    <t>Стекольные, обойные, облицовочные работы</t>
  </si>
  <si>
    <t>рФЕР-63</t>
  </si>
  <si>
    <t>Пр/812-097.0-1</t>
  </si>
  <si>
    <t>Пр/774-097.0</t>
  </si>
  <si>
    <t>2,1</t>
  </si>
  <si>
    <t>01.8.02.06-0091</t>
  </si>
  <si>
    <t>Стекло листовое М1, площадь до 1,0 м2, группа 1, толщина 6 мм</t>
  </si>
  <si>
    <t>м2</t>
  </si>
  <si>
    <t>ФССЦ-2001, 01.8.02.06-0091, приказ Минстроя России № 876/пр от 26.12.2019</t>
  </si>
  <si>
    <t>2,2</t>
  </si>
  <si>
    <t>01.8.02.06-0101</t>
  </si>
  <si>
    <t>Стекло листовое площадью до 4,3 м2, 1 группы, толщиной: 7 мм, марки М7</t>
  </si>
  <si>
    <t>ФССЦ-2001, 01.8.02.06-0101, приказ Минстроя России № 876/пр от 26.12.2019</t>
  </si>
  <si>
    <t>2,3</t>
  </si>
  <si>
    <t>999-9900</t>
  </si>
  <si>
    <t>Строительный мусор</t>
  </si>
  <si>
    <t>т</t>
  </si>
  <si>
    <t>3</t>
  </si>
  <si>
    <t>07-05-039-19</t>
  </si>
  <si>
    <t>Замена уплотнителей  окон (Применительно)</t>
  </si>
  <si>
    <t>100 м</t>
  </si>
  <si>
    <t>ФЕР-2001, 07-05-039-19, приказ Минстроя России № 876/пр от 26.12.2019</t>
  </si>
  <si>
    <t>Бетонные и железобетонные сборные конструкции и работы в строительстве</t>
  </si>
  <si>
    <t>Бетонные и железобетонные сборные конструкции и работы в строительстве жилых, общественных и административно-бытовых зданий промышленных предприятий</t>
  </si>
  <si>
    <t>ФЕР-07</t>
  </si>
  <si>
    <t>Пр/812-007.1-1</t>
  </si>
  <si>
    <t>Пр/774-007.1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</si>
  <si>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</si>
  <si>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</si>
  <si>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</si>
  <si>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</si>
  <si>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</si>
  <si>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</si>
  <si>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</si>
  <si>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</si>
  <si>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</si>
  <si>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</si>
  <si>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</si>
  <si>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</si>
  <si>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</si>
  <si>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</si>
  <si>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</si>
  <si>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</si>
  <si>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</si>
  <si>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</si>
  <si>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</si>
  <si>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</si>
  <si>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</si>
  <si>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</si>
  <si>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</si>
  <si>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</si>
  <si>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</si>
  <si>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</si>
  <si>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</si>
  <si>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</si>
  <si>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</si>
  <si>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</si>
  <si>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</si>
  <si>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</si>
  <si>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</si>
  <si>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</si>
  <si>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</si>
  <si>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</si>
  <si>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</si>
  <si>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</si>
  <si>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</si>
  <si>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</si>
  <si>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</si>
  <si>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</si>
  <si>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</si>
  <si>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</si>
  <si>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</si>
  <si>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</si>
  <si>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</si>
  <si>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</si>
  <si>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</si>
  <si>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</si>
  <si>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</si>
  <si>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</si>
  <si>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</si>
  <si>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</si>
  <si>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</si>
  <si>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по разделу</t>
  </si>
  <si>
    <t>Разные работы</t>
  </si>
  <si>
    <t>4</t>
  </si>
  <si>
    <t>т01-01-01-041</t>
  </si>
  <si>
    <t>Погрузочные работы при автомобильных перевозках мусора строительного с погрузкой вручную</t>
  </si>
  <si>
    <t>1 Т ГРУЗА</t>
  </si>
  <si>
    <t>ФССЦпг-2001, т01-01-01-041, приказ Минстроя России №876/пр от 26.12.2019</t>
  </si>
  <si>
    <t>Погрузочно-разгрузочные работы</t>
  </si>
  <si>
    <t>ФССЦпр  пог. а/п (2011,изм. 4-6)</t>
  </si>
  <si>
    <t>5</t>
  </si>
  <si>
    <t>т03-02-01-050</t>
  </si>
  <si>
    <t>Перевозка грузов I класса автомобилями бортовыми грузоподъемностью до 5 т на расстояние: до 50 км (Приказ от 06.11.2020 № МКЭ-ОД/20-68 прил. 2 по ЮЗАО - 50 км) Применительно</t>
  </si>
  <si>
    <t>ФССЦпг-2001, т03-02-01-050, приказ Минстроя России №876/пр от 26.12.2019</t>
  </si>
  <si>
    <t>Автомобили бортовые</t>
  </si>
  <si>
    <t>Перевозка строительных грузов автомобильным транспортом</t>
  </si>
  <si>
    <t>ФССЦпр , изм. 7</t>
  </si>
  <si>
    <t>всего по разделу</t>
  </si>
  <si>
    <t>НДС</t>
  </si>
  <si>
    <t>НДС20%</t>
  </si>
  <si>
    <t>итог2</t>
  </si>
  <si>
    <t>ВСЕГО ПО СМЕТЕ</t>
  </si>
  <si>
    <t>Итого</t>
  </si>
  <si>
    <t>НДС 20%</t>
  </si>
  <si>
    <t>Итого2</t>
  </si>
  <si>
    <t>Всего по смете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</si>
  <si>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</si>
  <si>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</si>
  <si>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</si>
  <si>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</si>
  <si>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</si>
  <si>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</si>
  <si>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</si>
  <si>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</si>
  <si>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</si>
  <si>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</si>
  <si>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</si>
  <si>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</si>
  <si>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</si>
  <si>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</si>
  <si>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</si>
  <si>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</si>
  <si>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</si>
  <si>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</si>
  <si>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</si>
  <si>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</si>
  <si>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</si>
  <si>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</si>
  <si>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</si>
  <si>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СТНДРТ</t>
  </si>
  <si>
    <t>При определении сметной стоимости строительства объектов капитального строительства (за исключением АЭС).</t>
  </si>
  <si>
    <t>АЭС_ПНР</t>
  </si>
  <si>
    <t>При определении сметной стоимости строительства объектов капитального строительства АЭС. Пусконаладочные работы (за исключением технологического оборудования АЭС).</t>
  </si>
  <si>
    <t>АЭС_ПНР_ТЕХ</t>
  </si>
  <si>
    <t>При определении сметной стоимости строительства объектов капитального строительства АЭС. Пусконаладочные работы технологического оборудования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</si>
  <si>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</si>
  <si>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АЭС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</si>
  <si>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</si>
  <si>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</si>
  <si>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</si>
  <si>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</si>
  <si>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</si>
  <si>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</si>
  <si>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</si>
  <si>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</si>
  <si>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</si>
  <si>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</si>
  <si>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</si>
  <si>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</si>
  <si>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</si>
  <si>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</si>
  <si>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</si>
  <si>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ОБ_ПР</t>
  </si>
  <si>
    <t>Объект производственного назначения</t>
  </si>
  <si>
    <t>ОБ_НПР</t>
  </si>
  <si>
    <t>Объект непроизводственного назначения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</si>
  <si>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</si>
  <si>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</si>
  <si>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</si>
  <si>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</si>
  <si>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</si>
  <si>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</si>
  <si>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</si>
  <si>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</si>
  <si>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</si>
  <si>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</si>
  <si>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</si>
  <si>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</si>
  <si>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</si>
  <si>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</si>
  <si>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</si>
  <si>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</si>
  <si>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</si>
  <si>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Базовый уровень цен</t>
  </si>
  <si>
    <t>Текущий уровень цен</t>
  </si>
  <si>
    <t>Индексы за итогом</t>
  </si>
  <si>
    <t>_OBSM_</t>
  </si>
  <si>
    <t>1-100-31</t>
  </si>
  <si>
    <t>Рабочий среднего разряда 3.1</t>
  </si>
  <si>
    <t>чел.-ч.</t>
  </si>
  <si>
    <t>4-100-00</t>
  </si>
  <si>
    <t>Затраты труда машинистов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</si>
  <si>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</si>
  <si>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</si>
  <si>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</si>
  <si>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маш.-ч</t>
  </si>
  <si>
    <t>01.7.16.02-0001</t>
  </si>
  <si>
    <t>ФССЦ-2001, 01.7.16.02-0001, приказ Минстроя России № 876/пр от 26.12.2019</t>
  </si>
  <si>
    <t>Детали деревянные лесов из пиломатериалов хвойных пород</t>
  </si>
  <si>
    <t>м3</t>
  </si>
  <si>
    <t>01.7.16.02-0003</t>
  </si>
  <si>
    <t>ФССЦ-2001, 01.7.16.02-0003, приказ Минстроя России № 876/пр от 26.12.2019</t>
  </si>
  <si>
    <t>Детали стальных трубчатых лесов, укомплектованные пробками, крючками и хомутами, окрашенные</t>
  </si>
  <si>
    <t>11.2.13.06-0011</t>
  </si>
  <si>
    <t>ФССЦ-2001, 11.2.13.06-0011, приказ Минстроя России № 876/пр от 26.12.2019</t>
  </si>
  <si>
    <t>Щиты настила, все толщины</t>
  </si>
  <si>
    <t>1-100-36</t>
  </si>
  <si>
    <t>Рабочий среднего разряда 3.6</t>
  </si>
  <si>
    <t>91.06.06-048</t>
  </si>
  <si>
    <t>ФСЭМ-2001, 91.06.06-048 , приказ Минстроя России № 876/пр от 26.12.2019</t>
  </si>
  <si>
    <t>Подъемники одномачтовые, грузоподъемность до 500 кг, высота подъема 45 м</t>
  </si>
  <si>
    <t>01.7.19.04-0031</t>
  </si>
  <si>
    <t>ФССЦ-2001, 01.7.19.04-0031, приказ Минстроя России № 876/пр от 26.12.2019</t>
  </si>
  <si>
    <t>Прокладки резиновые (пластина техническая прессованная)</t>
  </si>
  <si>
    <t>кг</t>
  </si>
  <si>
    <t>01.7.20.08-0051</t>
  </si>
  <si>
    <t>ФССЦ-2001, 01.7.20.08-0051, приказ Минстроя России № 876/пр от 26.12.2019</t>
  </si>
  <si>
    <t>Ветошь</t>
  </si>
  <si>
    <t>1-1035</t>
  </si>
  <si>
    <t>Рабочий строитель среднего разряда 3,5</t>
  </si>
  <si>
    <t>чел.-ч</t>
  </si>
  <si>
    <t>400001</t>
  </si>
  <si>
    <t>ФСЭМ-2001, 400001, приказ Минстроя России №41/пр от 24.01.2017 г.</t>
  </si>
  <si>
    <t>101-1975</t>
  </si>
  <si>
    <t>ФССЦ-2001, 101-1975, приказ Минстроя России №41/пр от 24.01.2017 г.</t>
  </si>
  <si>
    <t>Прокладки уплотнительные ПРП диаметром 30 мм</t>
  </si>
  <si>
    <t>101-2505</t>
  </si>
  <si>
    <t>ФССЦ-2001, 101-2505, приказ Минстроя России №41/пр от 24.01.2017 г.</t>
  </si>
  <si>
    <t>Мастика клеящая кумаронокаучуковая КН-3</t>
  </si>
  <si>
    <t>1-1010</t>
  </si>
  <si>
    <t>Рабочий строитель среднего разряда 1</t>
  </si>
  <si>
    <t>400051</t>
  </si>
  <si>
    <t>ФСЭМ-2001, 400051, приказ Минстроя России №899/пр от 11.12.2015 г.</t>
  </si>
  <si>
    <t>Автомобиль-самосвал, грузоподъемность до 7 т</t>
  </si>
  <si>
    <t>01.8.02.06</t>
  </si>
  <si>
    <t>Стекло оконное</t>
  </si>
  <si>
    <t>1-100-35</t>
  </si>
  <si>
    <t>Рабочий среднего разряда 3.5</t>
  </si>
  <si>
    <t>01.7.07.14-0057</t>
  </si>
  <si>
    <t>ФССЦ-2001, 01.7.07.14-0057, приказ Минстроя России № 876/пр от 26.12.2019</t>
  </si>
  <si>
    <t>Прокладки уплотнительные ПРП, диаметр 30 мм</t>
  </si>
  <si>
    <t>14.5.04.02-0002</t>
  </si>
  <si>
    <t>ФССЦ-2001, 14.5.04.02-0002, приказ Минстроя России № 876/пр от 26.12.2019</t>
  </si>
  <si>
    <t>Мастика клеящая каучуковая КН-3</t>
  </si>
  <si>
    <t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</si>
  <si>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</si>
  <si>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"СОГЛАСОВАНО"</t>
  </si>
  <si>
    <t>"УТВЕРЖДАЮ"</t>
  </si>
  <si>
    <t>"_____"________________ 2023 г.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</si>
  <si>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</si>
  <si>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</si>
  <si>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</si>
  <si>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</si>
  <si>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</si>
  <si>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</si>
  <si>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</si>
  <si>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</si>
  <si>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</si>
  <si>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</si>
  <si>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</si>
  <si>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</si>
  <si>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</si>
  <si>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</si>
  <si>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</si>
  <si>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</si>
  <si>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</si>
  <si>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</si>
  <si>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</si>
  <si>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</si>
  <si>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</si>
  <si>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</si>
  <si>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</si>
  <si>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</si>
  <si>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</si>
  <si>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</si>
  <si>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</si>
  <si>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</si>
  <si>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</si>
  <si>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</si>
  <si>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</si>
  <si>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</rPr>
      <t>нтов</t>
    </r>
  </si>
  <si>
    <t>всего</t>
  </si>
  <si>
    <t>Наименование программного продукта: Программа для ЭВМ «Программа: «SmetaRu» версия 11»</t>
  </si>
  <si>
    <t>Базисно-индексный</t>
  </si>
  <si>
    <t>Составлена в ценах III квартал 2023 года (1.01.2000)</t>
  </si>
  <si>
    <t>Раздел: Замена стекол</t>
  </si>
  <si>
    <t>ФЕР 08-07-002-01</t>
  </si>
  <si>
    <r>
      <t>Установка и разборка внутренних трубчатых инвентарных лесов: при высоте помещений до 6 м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</si>
  <si>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ОТ</t>
  </si>
  <si>
    <t>ЭМ</t>
  </si>
  <si>
    <t>в т.ч. ОТм</t>
  </si>
  <si>
    <t>М</t>
  </si>
  <si>
    <t>ЗТ</t>
  </si>
  <si>
    <t>чел-ч</t>
  </si>
  <si>
    <t>ЗТм</t>
  </si>
  <si>
    <t>Итого по расценке</t>
  </si>
  <si>
    <t>ФОТ</t>
  </si>
  <si>
    <t>Пр/812-008.0-1;
п.25</t>
  </si>
  <si>
    <t>НР Конструкции из кирпича и блоков</t>
  </si>
  <si>
    <t>%</t>
  </si>
  <si>
    <t>Пр/774-008.0;
п.16</t>
  </si>
  <si>
    <t>СП Конструкции из кирпича и блоков</t>
  </si>
  <si>
    <t>Всего по позиции</t>
  </si>
  <si>
    <t>ФЕРр 63-3-6</t>
  </si>
  <si>
    <t>ФССЦ 01.8.02.06-0091</t>
  </si>
  <si>
    <t>ФССЦ 01.8.02.06-0101</t>
  </si>
  <si>
    <t>НР Стекольные, обойные, облицовочные работы</t>
  </si>
  <si>
    <t>СП Стекольные, обойные, облицовочные работы</t>
  </si>
  <si>
    <t>ФЕР 07-05-039-19</t>
  </si>
  <si>
    <r>
      <t>Замена уплотнителей  окон (Применительно)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</si>
  <si>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Пр/812-007.1-1;
п.25</t>
  </si>
  <si>
    <t>НР Бетонные и железобетонные сборные конструкции и работы в строительстве жилых, общественных и административно-бытовых зданий промышленных предприятий</t>
  </si>
  <si>
    <t>Пр/774-007.1;
п.16</t>
  </si>
  <si>
    <t>СП Бетонные и железобетонные сборные конструкции и работы в строительстве жилых, общественных и административно-бытовых зданий промышленных предприятий</t>
  </si>
  <si>
    <t>Итого прямые затраты по разделу (в базисном и текущем уровнях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</si>
  <si>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</si>
  <si>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</si>
  <si>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</si>
  <si>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</si>
  <si>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</si>
  <si>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и текущем уровне цен)(справочно)</t>
  </si>
  <si>
    <t>Итого накладные расходы (в базисном и текущем уровне цен)</t>
  </si>
  <si>
    <t>Итого сметная прибыль (в базисном и текущем уровне цен)</t>
  </si>
  <si>
    <t>Итого оборудование (в базисном и текущем уровне цен)</t>
  </si>
  <si>
    <t>Итого прочие затраты (в базисном и текущем уровне цен)</t>
  </si>
  <si>
    <t>Итого по разделу (в базисном и текущем уровне цен)</t>
  </si>
  <si>
    <t>справочно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</si>
  <si>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</si>
  <si>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</si>
  <si>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Разные работы</t>
  </si>
  <si>
    <t>ФССЦ 01-01-01-041</t>
  </si>
  <si>
    <t>ФССЦ 03-02-01-050</t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</si>
  <si>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</si>
  <si>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</si>
  <si>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</si>
  <si>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</si>
  <si>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</si>
  <si>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</si>
  <si>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</si>
  <si>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 xml:space="preserve">Составил   </t>
  </si>
  <si>
    <t>[должность,подпись(инициалы,фамилия)]</t>
  </si>
  <si>
    <t xml:space="preserve">Проверил   </t>
  </si>
  <si>
    <t>___________________________</t>
  </si>
  <si>
    <t>" ___ " ___________ 20 ___ г.</t>
  </si>
  <si>
    <t>№ в ЛСР</t>
  </si>
  <si>
    <t>Ссылка на чертежи, спецификации</t>
  </si>
  <si>
    <t>Формула расчета, расчет объемов работ и расхода материалов</t>
  </si>
  <si>
    <t>Примечание</t>
  </si>
  <si>
    <t>Главный инженер проекта _________________</t>
  </si>
  <si>
    <t>Составил _________________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</si>
  <si>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</si>
  <si>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</si>
  <si>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</si>
  <si>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</si>
  <si>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</si>
  <si>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</si>
  <si>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</si>
  <si>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</si>
  <si>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</si>
  <si>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</si>
  <si>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</si>
  <si>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</si>
  <si>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</si>
  <si>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</si>
  <si>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</si>
  <si>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</si>
  <si>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</si>
  <si>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</si>
  <si>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</si>
  <si>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</si>
  <si>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</si>
  <si>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</si>
  <si>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</si>
  <si>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</si>
  <si>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</si>
  <si>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</si>
  <si>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</si>
  <si>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</si>
  <si>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</si>
  <si>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</si>
  <si>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Наименование работ</t>
  </si>
  <si>
    <t>Номер единичной расценки</t>
  </si>
  <si>
    <t>Выполнено работ</t>
  </si>
  <si>
    <t>по порядку</t>
  </si>
  <si>
    <t>поз. по смете</t>
  </si>
  <si>
    <t>цена за единицу, руб</t>
  </si>
  <si>
    <t>стоимость, руб</t>
  </si>
  <si>
    <t>Коэфф. пересчёта: пункт</t>
  </si>
  <si>
    <t>Коэфф. к ОЗП</t>
  </si>
  <si>
    <t>Коэфф. к эксплуатации машин</t>
  </si>
  <si>
    <t>Коэфф. к материалам</t>
  </si>
  <si>
    <t>Коэфф. к ЗПМ</t>
  </si>
  <si>
    <t xml:space="preserve">Эксплуатация машин </t>
  </si>
  <si>
    <t xml:space="preserve">Оплата труда машинистов </t>
  </si>
  <si>
    <t xml:space="preserve">Оплата труда рабочих </t>
  </si>
  <si>
    <t xml:space="preserve">Затраты труда рабочих </t>
  </si>
  <si>
    <t xml:space="preserve">Затраты труда машинистов </t>
  </si>
  <si>
    <t xml:space="preserve">Накладные расходы </t>
  </si>
  <si>
    <t xml:space="preserve">Сметная прибыль </t>
  </si>
  <si>
    <t>Коэфф. к сметной цене</t>
  </si>
  <si>
    <t xml:space="preserve">Сдал </t>
  </si>
  <si>
    <t>должность</t>
  </si>
  <si>
    <t>подпись</t>
  </si>
  <si>
    <t>расшифровка подпись</t>
  </si>
  <si>
    <t>М.П.</t>
  </si>
  <si>
    <t xml:space="preserve">Принял 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</si>
  <si>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</si>
  <si>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</si>
  <si>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</si>
  <si>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Заказчик _________________</t>
  </si>
  <si>
    <t>Подрядчик _________________</t>
  </si>
  <si>
    <t xml:space="preserve"> Главный инженер ИПУ РАН</t>
  </si>
  <si>
    <t>_____________________Муравьев К.В.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</si>
</sst>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;[Red]\-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6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1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Alignment="1">
      <alignment/>
    </xf>
    <xf numFmtId="164" fontId="1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0" xfId="0" applyNumberFormat="1" applyFont="1" applyAlignment="1">
      <alignment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5" fillId="0" borderId="10" xfId="0" applyFont="1" applyBorder="1" applyAlignment="1">
      <alignment/>
    </xf>
    <xf numFmtId="165" fontId="0" fillId="0" borderId="0" xfId="0" applyNumberFormat="1" applyAlignment="1">
      <alignment/>
    </xf>
    <xf numFmtId="165" fontId="15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165" fontId="0" fillId="0" borderId="0" xfId="0" applyNumberFormat="1" applyFont="1" applyAlignment="1">
      <alignment horizontal="right"/>
    </xf>
    <xf numFmtId="165" fontId="15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left" wrapText="1"/>
    </xf>
    <xf numFmtId="0" fontId="22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165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5" fillId="0" borderId="15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top" shrinkToFi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2" fontId="15" fillId="0" borderId="1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0" fontId="16" fillId="0" borderId="16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2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65" fontId="17" fillId="0" borderId="16" xfId="0" applyNumberFormat="1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2" fillId="0" borderId="0" xfId="0" applyFont="1" applyAlignment="1">
      <alignment horizontal="right"/>
    </xf>
    <xf numFmtId="0" fontId="15" fillId="0" borderId="14" xfId="0" applyFont="1" applyBorder="1" applyAlignment="1" quotePrefix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1" xfId="0" applyFont="1" applyBorder="1" applyAlignment="1">
      <alignment horizontal="right"/>
    </xf>
    <xf numFmtId="14" fontId="15" fillId="0" borderId="14" xfId="0" applyNumberFormat="1" applyFont="1" applyBorder="1" applyAlignment="1">
      <alignment horizontal="center"/>
    </xf>
    <xf numFmtId="14" fontId="15" fillId="0" borderId="19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0" fontId="0" fillId="0" borderId="0" xfId="0" applyFont="1" applyAlignment="1" quotePrefix="1">
      <alignment vertical="top" wrapText="1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center" shrinkToFit="1"/>
    </xf>
    <xf numFmtId="0" fontId="15" fillId="0" borderId="15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center" vertical="top" shrinkToFi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60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40.7109375" style="0" customWidth="1"/>
    <col min="4" max="4" width="10.7109375" style="0" customWidth="1"/>
    <col min="5" max="12" width="14.7109375" style="0" customWidth="1"/>
    <col min="15" max="93" width="0" style="0" hidden="1" customWidth="1"/>
    <col min="94" max="94" width="190.7109375" style="0" hidden="1" customWidth="1"/>
    <col min="95" max="95" width="109.7109375" style="0" hidden="1" customWidth="1"/>
    <col min="96" max="99" width="0" style="0" hidden="1" customWidth="1"/>
  </cols>
  <sheetData>
    <row r="1" ht="12.75">
      <c r="A1" s="12" t="str">
        <f>Source!B1</f>
        <v>Smeta.RU  (495) 974-1589</v>
      </c>
    </row>
    <row r="3" spans="1:12" ht="16.5">
      <c r="A3" s="13"/>
      <c r="B3" s="116" t="s">
        <v>286</v>
      </c>
      <c r="C3" s="116"/>
      <c r="D3" s="116"/>
      <c r="E3" s="116"/>
      <c r="F3" s="14"/>
      <c r="G3" s="14"/>
      <c r="H3" s="116" t="s">
        <v>287</v>
      </c>
      <c r="I3" s="116"/>
      <c r="J3" s="116"/>
      <c r="K3" s="116"/>
      <c r="L3" s="116"/>
    </row>
    <row r="4" spans="1:12" ht="14.25">
      <c r="A4" s="14"/>
      <c r="B4" s="117"/>
      <c r="C4" s="117"/>
      <c r="D4" s="117"/>
      <c r="E4" s="117"/>
      <c r="F4" s="14"/>
      <c r="G4" s="14"/>
      <c r="H4" s="117" t="s">
        <v>451</v>
      </c>
      <c r="I4" s="117"/>
      <c r="J4" s="117"/>
      <c r="K4" s="117"/>
      <c r="L4" s="117"/>
    </row>
    <row r="5" spans="1:12" ht="14.25">
      <c r="A5" s="15"/>
      <c r="B5" s="15"/>
      <c r="C5" s="16"/>
      <c r="D5" s="16"/>
      <c r="E5" s="16"/>
      <c r="F5" s="14"/>
      <c r="G5" s="14"/>
      <c r="H5" s="17"/>
      <c r="I5" s="16"/>
      <c r="J5" s="16"/>
      <c r="K5" s="16"/>
      <c r="L5" s="17"/>
    </row>
    <row r="6" spans="1:12" ht="14.25">
      <c r="A6" s="17"/>
      <c r="B6" s="117" t="str">
        <f>CONCATENATE("______________________ ",IF(Source!AL12&lt;&gt;"",Source!AL12,""))</f>
        <v>______________________ </v>
      </c>
      <c r="C6" s="117"/>
      <c r="D6" s="117"/>
      <c r="E6" s="117"/>
      <c r="F6" s="14"/>
      <c r="G6" s="14"/>
      <c r="H6" s="117" t="s">
        <v>452</v>
      </c>
      <c r="I6" s="117"/>
      <c r="J6" s="117"/>
      <c r="K6" s="117"/>
      <c r="L6" s="117"/>
    </row>
    <row r="7" spans="1:12" ht="14.25">
      <c r="A7" s="18"/>
      <c r="B7" s="112" t="s">
        <v>288</v>
      </c>
      <c r="C7" s="112"/>
      <c r="D7" s="112"/>
      <c r="E7" s="112"/>
      <c r="F7" s="14"/>
      <c r="G7" s="14"/>
      <c r="H7" s="112" t="s">
        <v>288</v>
      </c>
      <c r="I7" s="112"/>
      <c r="J7" s="112"/>
      <c r="K7" s="112"/>
      <c r="L7" s="112"/>
    </row>
    <row r="10" spans="1:94" ht="38.25">
      <c r="A10" s="113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CP10" s="77" t="str">
        <f>Source!CQ12</f>
        <v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v>
      </c>
    </row>
    <row r="11" spans="1:11" ht="12.75">
      <c r="A11" s="11"/>
      <c r="B11" s="11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13" t="s">
        <v>322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5" spans="1:12" ht="15.75">
      <c r="A15" s="18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8"/>
    </row>
    <row r="16" spans="1:12" ht="14.25">
      <c r="A16" s="20"/>
      <c r="B16" s="115" t="s">
        <v>289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8"/>
    </row>
    <row r="17" spans="1:12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5.75">
      <c r="A18" s="14"/>
      <c r="B18" s="114" t="str">
        <f>IF(Source!G12&lt;&gt;"Новый объект",Source!G12,"")</f>
        <v>Выполнение работ по замене остекления строения 3 ИПУ РАН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4"/>
    </row>
    <row r="19" spans="1:12" ht="14.25">
      <c r="A19" s="14"/>
      <c r="B19" s="115" t="s">
        <v>290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4"/>
    </row>
    <row r="20" spans="1:12" ht="14.25">
      <c r="A20" s="14"/>
      <c r="B20" s="14"/>
      <c r="C20" s="14"/>
      <c r="D20" s="14"/>
      <c r="E20" s="14"/>
      <c r="F20" s="21"/>
      <c r="G20" s="21"/>
      <c r="H20" s="21" t="s">
        <v>3</v>
      </c>
      <c r="I20" s="21"/>
      <c r="J20" s="21"/>
      <c r="K20" s="21"/>
      <c r="L20" s="21"/>
    </row>
    <row r="21" spans="1:12" ht="15.75">
      <c r="A21" s="22"/>
      <c r="B21" s="122" t="str">
        <f>CONCATENATE("ЛОКАЛЬНАЯ СМЕТА № ",Source!F20," ",Source!CM20)</f>
        <v>ЛОКАЛЬНАЯ СМЕТА №  </v>
      </c>
      <c r="C21" s="122"/>
      <c r="D21" s="122"/>
      <c r="E21" s="122"/>
      <c r="F21" s="122"/>
      <c r="G21" s="122"/>
      <c r="H21" s="122"/>
      <c r="I21" s="122"/>
      <c r="J21" s="122"/>
      <c r="K21" s="122"/>
      <c r="L21" s="22"/>
    </row>
    <row r="22" spans="1:12" ht="1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2"/>
    </row>
    <row r="23" spans="1:12" ht="18">
      <c r="A23" s="14"/>
      <c r="B23" s="123">
        <f>IF(Source!G20&lt;&gt;"Новая локальная смета",Source!G20,"")</f>
      </c>
      <c r="C23" s="123"/>
      <c r="D23" s="123"/>
      <c r="E23" s="123"/>
      <c r="F23" s="123"/>
      <c r="G23" s="123"/>
      <c r="H23" s="123"/>
      <c r="I23" s="123"/>
      <c r="J23" s="123"/>
      <c r="K23" s="123"/>
      <c r="L23" s="24"/>
    </row>
    <row r="24" spans="1:12" ht="14.25">
      <c r="A24" s="14"/>
      <c r="B24" s="115" t="s">
        <v>291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8"/>
    </row>
    <row r="25" spans="1:12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11" t="s">
        <v>292</v>
      </c>
      <c r="B27" s="11"/>
      <c r="C27" s="25" t="s">
        <v>323</v>
      </c>
      <c r="D27" s="11" t="s">
        <v>293</v>
      </c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 t="s">
        <v>294</v>
      </c>
      <c r="B29" s="11"/>
      <c r="C29" s="124"/>
      <c r="D29" s="124"/>
      <c r="E29" s="124"/>
      <c r="F29" s="124"/>
      <c r="G29" s="124"/>
      <c r="H29" s="11"/>
      <c r="I29" s="11"/>
      <c r="J29" s="11"/>
      <c r="K29" s="11"/>
      <c r="L29" s="26"/>
    </row>
    <row r="30" spans="1:12" ht="12.75">
      <c r="A30" s="27"/>
      <c r="B30" s="28"/>
      <c r="C30" s="118" t="s">
        <v>295</v>
      </c>
      <c r="D30" s="118"/>
      <c r="E30" s="118"/>
      <c r="F30" s="118"/>
      <c r="G30" s="118"/>
      <c r="H30" s="29"/>
      <c r="I30" s="29"/>
      <c r="J30" s="29"/>
      <c r="K30" s="29"/>
      <c r="L30" s="29"/>
    </row>
    <row r="31" spans="1:12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4.25">
      <c r="A32" s="30" t="s">
        <v>324</v>
      </c>
      <c r="B32" s="14"/>
      <c r="C32" s="14"/>
      <c r="D32" s="31"/>
      <c r="E32" s="32"/>
      <c r="F32" s="14"/>
      <c r="G32" s="14"/>
      <c r="H32" s="14"/>
      <c r="I32" s="14"/>
      <c r="J32" s="14"/>
      <c r="K32" s="14"/>
      <c r="L32" s="14"/>
    </row>
    <row r="33" spans="1:12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4.25">
      <c r="A34" s="30" t="s">
        <v>296</v>
      </c>
      <c r="B34" s="14"/>
      <c r="C34" s="51">
        <f>C37+C38+C39+C40</f>
        <v>641.42</v>
      </c>
      <c r="D34" s="119">
        <f>D37+D38+D39+D40</f>
        <v>49.46</v>
      </c>
      <c r="E34" s="120"/>
      <c r="F34" s="33" t="s">
        <v>297</v>
      </c>
      <c r="G34" s="34"/>
      <c r="H34" s="34"/>
      <c r="I34" s="34"/>
      <c r="J34" s="34"/>
      <c r="K34" s="14"/>
      <c r="L34" s="14"/>
    </row>
    <row r="35" spans="1:12" ht="14.25">
      <c r="A35" s="14"/>
      <c r="B35" s="14"/>
      <c r="C35" s="44"/>
      <c r="D35" s="52"/>
      <c r="E35" s="34"/>
      <c r="F35" s="33"/>
      <c r="G35" s="33" t="s">
        <v>298</v>
      </c>
      <c r="H35" s="34"/>
      <c r="I35" s="34"/>
      <c r="J35" s="34"/>
      <c r="K35" s="14"/>
      <c r="L35" s="14"/>
    </row>
    <row r="36" spans="1:12" ht="14.25">
      <c r="A36" s="14"/>
      <c r="B36" s="35" t="s">
        <v>299</v>
      </c>
      <c r="C36" s="44"/>
      <c r="D36" s="52"/>
      <c r="E36" s="36"/>
      <c r="F36" s="33"/>
      <c r="G36" s="33" t="s">
        <v>300</v>
      </c>
      <c r="H36" s="34" t="s">
        <v>301</v>
      </c>
      <c r="I36" s="37">
        <f>ROUND(SUM(U47:U153)/1000,2)</f>
        <v>154.4</v>
      </c>
      <c r="J36" s="37">
        <f>ROUND((SUM(Q47:Q153))/1000,2)</f>
        <v>4.13</v>
      </c>
      <c r="K36" s="11" t="s">
        <v>297</v>
      </c>
      <c r="L36" s="14"/>
    </row>
    <row r="37" spans="1:12" ht="14.25">
      <c r="A37" s="14"/>
      <c r="B37" s="30" t="s">
        <v>302</v>
      </c>
      <c r="C37" s="51">
        <f>ROUND((Source!P129)/1000,2)</f>
        <v>641.42</v>
      </c>
      <c r="D37" s="119">
        <f>ROUND((SUM(AN47:AN153)+SUM(AR47:AR153))/1000,2)</f>
        <v>49.46</v>
      </c>
      <c r="E37" s="120"/>
      <c r="F37" s="33" t="s">
        <v>297</v>
      </c>
      <c r="G37" s="33" t="s">
        <v>303</v>
      </c>
      <c r="H37" s="34"/>
      <c r="I37" s="33"/>
      <c r="J37" s="53">
        <f>Source!P134</f>
        <v>452.9579708</v>
      </c>
      <c r="K37" s="11" t="s">
        <v>229</v>
      </c>
      <c r="L37" s="14"/>
    </row>
    <row r="38" spans="1:12" ht="14.25">
      <c r="A38" s="14"/>
      <c r="B38" s="30" t="s">
        <v>304</v>
      </c>
      <c r="C38" s="51">
        <f>ROUND((Source!P130)/1000,2)</f>
        <v>0</v>
      </c>
      <c r="D38" s="119">
        <f>ROUND((SUM(AX47:AX153)+SUM(BB47:BB153))/1000,2)</f>
        <v>0</v>
      </c>
      <c r="E38" s="120"/>
      <c r="F38" s="33" t="s">
        <v>297</v>
      </c>
      <c r="G38" s="33" t="s">
        <v>305</v>
      </c>
      <c r="H38" s="34"/>
      <c r="I38" s="33"/>
      <c r="J38" s="53">
        <f>Source!P135</f>
        <v>2.65639</v>
      </c>
      <c r="K38" s="11" t="s">
        <v>229</v>
      </c>
      <c r="L38" s="14"/>
    </row>
    <row r="39" spans="1:12" ht="14.25">
      <c r="A39" s="14"/>
      <c r="B39" s="30" t="s">
        <v>306</v>
      </c>
      <c r="C39" s="51">
        <f>ROUND((Source!P121)/1000,2)</f>
        <v>0</v>
      </c>
      <c r="D39" s="119">
        <f>ROUND((SUM(BH47:BH153)+SUM(BI47:BI153))/1000,2)</f>
        <v>0</v>
      </c>
      <c r="E39" s="120"/>
      <c r="F39" s="33" t="s">
        <v>297</v>
      </c>
      <c r="G39" s="33" t="s">
        <v>307</v>
      </c>
      <c r="H39" s="34"/>
      <c r="I39" s="33"/>
      <c r="J39" s="38"/>
      <c r="K39" s="14"/>
      <c r="L39" s="14"/>
    </row>
    <row r="40" spans="1:12" ht="14.25">
      <c r="A40" s="14"/>
      <c r="B40" s="30" t="s">
        <v>308</v>
      </c>
      <c r="C40" s="51">
        <f>ROUND((Source!P131+Source!P132)/1000,2)</f>
        <v>0</v>
      </c>
      <c r="D40" s="119">
        <f>ROUND((SUM(BM47:BM153)+SUM(BN47:BN153)+SUM(BO47:BO153)+SUM(BP47:BP153))/1000,2)</f>
        <v>0</v>
      </c>
      <c r="E40" s="121"/>
      <c r="F40" s="33" t="s">
        <v>297</v>
      </c>
      <c r="G40" s="33" t="s">
        <v>309</v>
      </c>
      <c r="H40" s="34"/>
      <c r="I40" s="33">
        <f>Source!I20</f>
        <v>0</v>
      </c>
      <c r="J40" s="39">
        <f>Source!H20</f>
      </c>
      <c r="K40" s="14"/>
      <c r="L40" s="14"/>
    </row>
    <row r="41" spans="1:12" ht="14.25">
      <c r="A41" s="14"/>
      <c r="B41" s="14"/>
      <c r="C41" s="14"/>
      <c r="D41" s="34"/>
      <c r="E41" s="34"/>
      <c r="F41" s="34"/>
      <c r="G41" s="34"/>
      <c r="H41" s="34"/>
      <c r="I41" s="34"/>
      <c r="J41" s="34"/>
      <c r="K41" s="14"/>
      <c r="L41" s="14"/>
    </row>
    <row r="42" spans="1:12" ht="12.75">
      <c r="A42" s="127" t="s">
        <v>310</v>
      </c>
      <c r="B42" s="127" t="s">
        <v>311</v>
      </c>
      <c r="C42" s="127" t="s">
        <v>312</v>
      </c>
      <c r="D42" s="127" t="s">
        <v>313</v>
      </c>
      <c r="E42" s="133" t="s">
        <v>314</v>
      </c>
      <c r="F42" s="134"/>
      <c r="G42" s="135"/>
      <c r="H42" s="133" t="s">
        <v>315</v>
      </c>
      <c r="I42" s="134"/>
      <c r="J42" s="135"/>
      <c r="K42" s="127" t="s">
        <v>316</v>
      </c>
      <c r="L42" s="127" t="s">
        <v>317</v>
      </c>
    </row>
    <row r="43" spans="1:12" ht="12.75">
      <c r="A43" s="128"/>
      <c r="B43" s="128"/>
      <c r="C43" s="128"/>
      <c r="D43" s="128"/>
      <c r="E43" s="136"/>
      <c r="F43" s="137"/>
      <c r="G43" s="138"/>
      <c r="H43" s="136"/>
      <c r="I43" s="137"/>
      <c r="J43" s="138"/>
      <c r="K43" s="128"/>
      <c r="L43" s="128"/>
    </row>
    <row r="44" spans="1:12" ht="12.75">
      <c r="A44" s="128"/>
      <c r="B44" s="128"/>
      <c r="C44" s="128"/>
      <c r="D44" s="128"/>
      <c r="E44" s="139"/>
      <c r="F44" s="140"/>
      <c r="G44" s="141"/>
      <c r="H44" s="139"/>
      <c r="I44" s="140"/>
      <c r="J44" s="141"/>
      <c r="K44" s="128"/>
      <c r="L44" s="128"/>
    </row>
    <row r="45" spans="1:12" ht="25.5">
      <c r="A45" s="129"/>
      <c r="B45" s="129"/>
      <c r="C45" s="129"/>
      <c r="D45" s="129"/>
      <c r="E45" s="40" t="s">
        <v>318</v>
      </c>
      <c r="F45" s="40" t="s">
        <v>319</v>
      </c>
      <c r="G45" s="40" t="s">
        <v>320</v>
      </c>
      <c r="H45" s="40" t="s">
        <v>318</v>
      </c>
      <c r="I45" s="40" t="s">
        <v>319</v>
      </c>
      <c r="J45" s="40" t="s">
        <v>321</v>
      </c>
      <c r="K45" s="129"/>
      <c r="L45" s="129"/>
    </row>
    <row r="46" spans="1:12" ht="14.25">
      <c r="A46" s="41">
        <v>1</v>
      </c>
      <c r="B46" s="41">
        <v>2</v>
      </c>
      <c r="C46" s="41">
        <v>3</v>
      </c>
      <c r="D46" s="41">
        <v>4</v>
      </c>
      <c r="E46" s="41">
        <v>5</v>
      </c>
      <c r="F46" s="41">
        <v>6</v>
      </c>
      <c r="G46" s="41">
        <v>7</v>
      </c>
      <c r="H46" s="41">
        <v>8</v>
      </c>
      <c r="I46" s="41">
        <v>9</v>
      </c>
      <c r="J46" s="41">
        <v>10</v>
      </c>
      <c r="K46" s="42">
        <v>11</v>
      </c>
      <c r="L46" s="43">
        <v>12</v>
      </c>
    </row>
    <row r="48" spans="1:12" ht="16.5">
      <c r="A48" s="143" t="s">
        <v>325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</row>
    <row r="49" spans="1:56" ht="144.75">
      <c r="A49" s="74">
        <v>1</v>
      </c>
      <c r="B49" s="74" t="s">
        <v>326</v>
      </c>
      <c r="C49" s="74" t="s">
        <v>327</v>
      </c>
      <c r="D49" s="56" t="str">
        <f>Source!DW29</f>
        <v>100 м2 горизонтальной проекции</v>
      </c>
      <c r="E49" s="57">
        <f>Source!K29</f>
        <v>0.4</v>
      </c>
      <c r="F49" s="57"/>
      <c r="G49" s="57">
        <f>Source!I29</f>
        <v>0.4</v>
      </c>
      <c r="H49" s="49"/>
      <c r="I49" s="58"/>
      <c r="J49" s="49"/>
      <c r="K49" s="58"/>
      <c r="L49" s="49"/>
      <c r="AG49">
        <f>ROUND((Source!AT29/100)*((ROUND(Source!AF29*Source!I29,2)+ROUND(Source!AE29*Source!I29,2))),2)</f>
        <v>277.24</v>
      </c>
      <c r="AH49">
        <f>Source!X29</f>
        <v>10352.42</v>
      </c>
      <c r="AI49">
        <f>ROUND((Source!AU29/100)*((ROUND(Source!AF29*Source!I29,2)+ROUND(Source!AE29*Source!I29,2))),2)</f>
        <v>164.24</v>
      </c>
      <c r="AJ49">
        <f>Source!Y29</f>
        <v>6133.02</v>
      </c>
      <c r="AS49">
        <f>IF(Source!BI29&lt;=1,AH49,0)</f>
        <v>10352.42</v>
      </c>
      <c r="AT49">
        <f>IF(Source!BI29&lt;=1,AJ49,0)</f>
        <v>6133.02</v>
      </c>
      <c r="BC49">
        <f>IF(Source!BI29=2,AH49,0)</f>
        <v>0</v>
      </c>
      <c r="BD49">
        <f>IF(Source!BI29=2,AJ49,0)</f>
        <v>0</v>
      </c>
    </row>
    <row r="50" ht="38.25">
      <c r="B50" s="45" t="str">
        <f>Source!EO29</f>
        <v>Поправка: М-ка 421/пр 04.08.20 п.58 п.п. б)</v>
      </c>
    </row>
    <row r="51" ht="12.75">
      <c r="C51" s="46" t="str">
        <f>"Объем: "&amp;Source!K29&amp;"=40/"&amp;"100"</f>
        <v>Объем: 0,4=40/100</v>
      </c>
    </row>
    <row r="52" spans="1:12" ht="14.25">
      <c r="A52" s="74"/>
      <c r="B52" s="75">
        <v>1</v>
      </c>
      <c r="C52" s="74" t="s">
        <v>328</v>
      </c>
      <c r="D52" s="56"/>
      <c r="E52" s="57"/>
      <c r="F52" s="57"/>
      <c r="G52" s="57"/>
      <c r="H52" s="49">
        <f>Source!AO29</f>
        <v>606.53</v>
      </c>
      <c r="I52" s="58">
        <f>ROUND(1.15,7)</f>
        <v>1.15</v>
      </c>
      <c r="J52" s="49">
        <f>ROUND(Source!AF29*Source!I29,2)</f>
        <v>279</v>
      </c>
      <c r="K52" s="58">
        <f>IF(Source!BA29&lt;&gt;0,Source!BA29,1)</f>
        <v>37.34</v>
      </c>
      <c r="L52" s="49">
        <f>Source!S29</f>
        <v>10418.01</v>
      </c>
    </row>
    <row r="53" spans="1:12" ht="14.25">
      <c r="A53" s="74"/>
      <c r="B53" s="75">
        <v>3</v>
      </c>
      <c r="C53" s="74" t="s">
        <v>329</v>
      </c>
      <c r="D53" s="56"/>
      <c r="E53" s="57"/>
      <c r="F53" s="57"/>
      <c r="G53" s="57"/>
      <c r="H53" s="49">
        <f>Source!AM29</f>
        <v>11.83</v>
      </c>
      <c r="I53" s="58">
        <f>ROUND(1.25,7)</f>
        <v>1.25</v>
      </c>
      <c r="J53" s="49">
        <f>ROUND(((((Source!ET29*ROUND(1.25,7)))-((Source!EU29*ROUND(1.25,7))))+Source!AE29)*Source!I29,2)</f>
        <v>5.91</v>
      </c>
      <c r="K53" s="58">
        <f>IF(Source!BB29&lt;&gt;0,Source!BB29,1)</f>
        <v>13.24</v>
      </c>
      <c r="L53" s="49">
        <f>Source!Q29</f>
        <v>78.28</v>
      </c>
    </row>
    <row r="54" spans="1:12" ht="14.25">
      <c r="A54" s="74"/>
      <c r="B54" s="75">
        <v>2</v>
      </c>
      <c r="C54" s="74" t="s">
        <v>330</v>
      </c>
      <c r="D54" s="56"/>
      <c r="E54" s="57"/>
      <c r="F54" s="57"/>
      <c r="G54" s="57"/>
      <c r="H54" s="49">
        <f>Source!AN29</f>
        <v>2.09</v>
      </c>
      <c r="I54" s="58">
        <f>ROUND(1.25,7)</f>
        <v>1.25</v>
      </c>
      <c r="J54" s="59">
        <f>ROUND(Source!AE29*Source!I29,2)</f>
        <v>1.04</v>
      </c>
      <c r="K54" s="58">
        <f>IF(Source!BS29&lt;&gt;0,Source!BS29,1)</f>
        <v>37.34</v>
      </c>
      <c r="L54" s="59">
        <f>Source!R29</f>
        <v>38.98</v>
      </c>
    </row>
    <row r="55" spans="1:12" ht="14.25">
      <c r="A55" s="74"/>
      <c r="B55" s="75">
        <v>4</v>
      </c>
      <c r="C55" s="74" t="s">
        <v>331</v>
      </c>
      <c r="D55" s="56"/>
      <c r="E55" s="57"/>
      <c r="F55" s="57"/>
      <c r="G55" s="57"/>
      <c r="H55" s="49">
        <f>Source!AL29</f>
        <v>379.47</v>
      </c>
      <c r="I55" s="58"/>
      <c r="J55" s="49">
        <f>ROUND(Source!AC29*Source!I29,2)</f>
        <v>151.79</v>
      </c>
      <c r="K55" s="58">
        <f>IF(Source!BC29&lt;&gt;0,Source!BC29,1)</f>
        <v>6.72</v>
      </c>
      <c r="L55" s="49">
        <f>Source!P29</f>
        <v>1020.02</v>
      </c>
    </row>
    <row r="56" spans="1:12" ht="14.25">
      <c r="A56" s="74"/>
      <c r="B56" s="74"/>
      <c r="C56" s="74" t="s">
        <v>332</v>
      </c>
      <c r="D56" s="56" t="s">
        <v>333</v>
      </c>
      <c r="E56" s="57">
        <f>Source!AQ29</f>
        <v>70.2</v>
      </c>
      <c r="F56" s="57">
        <f>ROUND(1.15,7)</f>
        <v>1.15</v>
      </c>
      <c r="G56" s="110">
        <f>ROUND(Source!U29,7)</f>
        <v>32.292</v>
      </c>
      <c r="H56" s="49"/>
      <c r="I56" s="58"/>
      <c r="J56" s="49"/>
      <c r="K56" s="58"/>
      <c r="L56" s="49"/>
    </row>
    <row r="57" spans="1:12" ht="14.25">
      <c r="A57" s="74"/>
      <c r="B57" s="74"/>
      <c r="C57" s="76" t="s">
        <v>334</v>
      </c>
      <c r="D57" s="60" t="s">
        <v>333</v>
      </c>
      <c r="E57" s="61">
        <f>Source!AR29</f>
        <v>0.18</v>
      </c>
      <c r="F57" s="61">
        <f>ROUND(1.25,7)</f>
        <v>1.25</v>
      </c>
      <c r="G57" s="111">
        <f>ROUND(Source!V29,7)</f>
        <v>0.09</v>
      </c>
      <c r="H57" s="62"/>
      <c r="I57" s="63"/>
      <c r="J57" s="62"/>
      <c r="K57" s="63"/>
      <c r="L57" s="62"/>
    </row>
    <row r="58" spans="1:12" ht="14.25">
      <c r="A58" s="74"/>
      <c r="B58" s="74"/>
      <c r="C58" s="74" t="s">
        <v>335</v>
      </c>
      <c r="D58" s="56"/>
      <c r="E58" s="57"/>
      <c r="F58" s="57"/>
      <c r="G58" s="57"/>
      <c r="H58" s="49">
        <f>H52+H53+H55</f>
        <v>997.83</v>
      </c>
      <c r="I58" s="58"/>
      <c r="J58" s="49">
        <f>J52+J53+J55</f>
        <v>436.70000000000005</v>
      </c>
      <c r="K58" s="58"/>
      <c r="L58" s="49">
        <f>L52+L53+L55</f>
        <v>11516.310000000001</v>
      </c>
    </row>
    <row r="59" spans="1:12" ht="14.25">
      <c r="A59" s="74"/>
      <c r="B59" s="74"/>
      <c r="C59" s="74" t="s">
        <v>336</v>
      </c>
      <c r="D59" s="56"/>
      <c r="E59" s="57"/>
      <c r="F59" s="57"/>
      <c r="G59" s="57"/>
      <c r="H59" s="49"/>
      <c r="I59" s="58"/>
      <c r="J59" s="49">
        <f>SUM(Q49:Q62)+SUM(V49:V62)+SUM(X49:X62)+SUM(Y49:Y62)</f>
        <v>280.04</v>
      </c>
      <c r="K59" s="58"/>
      <c r="L59" s="49">
        <f>SUM(U49:U62)+SUM(W49:W62)+SUM(Z49:Z62)+SUM(AA49:AA62)</f>
        <v>10456.99</v>
      </c>
    </row>
    <row r="60" spans="1:12" ht="28.5">
      <c r="A60" s="74"/>
      <c r="B60" s="74" t="s">
        <v>337</v>
      </c>
      <c r="C60" s="74" t="s">
        <v>338</v>
      </c>
      <c r="D60" s="56" t="s">
        <v>339</v>
      </c>
      <c r="E60" s="57">
        <f>Source!BZ29</f>
        <v>110</v>
      </c>
      <c r="F60" s="57">
        <f>ROUND(0.9,7)</f>
        <v>0.9</v>
      </c>
      <c r="G60" s="57">
        <f>Source!AT29</f>
        <v>99</v>
      </c>
      <c r="H60" s="49"/>
      <c r="I60" s="58"/>
      <c r="J60" s="49">
        <f>SUM(AG49:AG62)</f>
        <v>277.24</v>
      </c>
      <c r="K60" s="58"/>
      <c r="L60" s="49">
        <f>SUM(AH49:AH62)</f>
        <v>10352.42</v>
      </c>
    </row>
    <row r="61" spans="1:12" ht="28.5">
      <c r="A61" s="76"/>
      <c r="B61" s="76" t="s">
        <v>340</v>
      </c>
      <c r="C61" s="76" t="s">
        <v>341</v>
      </c>
      <c r="D61" s="60" t="s">
        <v>339</v>
      </c>
      <c r="E61" s="61">
        <f>Source!CA29</f>
        <v>69</v>
      </c>
      <c r="F61" s="61">
        <f>ROUND(0.85,7)</f>
        <v>0.85</v>
      </c>
      <c r="G61" s="61">
        <f>Source!AU29</f>
        <v>58.65</v>
      </c>
      <c r="H61" s="62"/>
      <c r="I61" s="63"/>
      <c r="J61" s="62">
        <f>SUM(AI49:AI62)</f>
        <v>164.24</v>
      </c>
      <c r="K61" s="63"/>
      <c r="L61" s="62">
        <f>SUM(AJ49:AJ62)</f>
        <v>6133.02</v>
      </c>
    </row>
    <row r="62" spans="3:53" ht="15">
      <c r="C62" s="142" t="s">
        <v>342</v>
      </c>
      <c r="D62" s="142"/>
      <c r="E62" s="142"/>
      <c r="F62" s="142"/>
      <c r="G62" s="142"/>
      <c r="H62" s="142"/>
      <c r="I62" s="142">
        <f>J52+J53+J55+J60+J61</f>
        <v>878.1800000000001</v>
      </c>
      <c r="J62" s="142"/>
      <c r="K62" s="142">
        <f>L52+L53+L55+L60+L61</f>
        <v>28001.750000000004</v>
      </c>
      <c r="L62" s="142"/>
      <c r="O62" s="48">
        <f>I62</f>
        <v>878.1800000000001</v>
      </c>
      <c r="P62" s="48">
        <f>K62</f>
        <v>28001.750000000004</v>
      </c>
      <c r="Q62" s="48">
        <f>J52</f>
        <v>279</v>
      </c>
      <c r="R62" s="48">
        <f>J52</f>
        <v>279</v>
      </c>
      <c r="U62" s="48">
        <f>L52</f>
        <v>10418.01</v>
      </c>
      <c r="X62" s="48">
        <f>J54</f>
        <v>1.04</v>
      </c>
      <c r="Z62" s="48">
        <f>L54</f>
        <v>38.98</v>
      </c>
      <c r="AB62" s="48">
        <f>J53</f>
        <v>5.91</v>
      </c>
      <c r="AD62" s="48">
        <f>L53</f>
        <v>78.28</v>
      </c>
      <c r="AF62" s="48">
        <f>J55</f>
        <v>151.79</v>
      </c>
      <c r="AN62">
        <f>IF(Source!BI29&lt;=1,J52+J53+J55+J60+J61,0)</f>
        <v>878.1800000000001</v>
      </c>
      <c r="AO62">
        <f>IF(Source!BI29&lt;=1,J55,0)</f>
        <v>151.79</v>
      </c>
      <c r="AP62">
        <f>IF(Source!BI29&lt;=1,J53,0)</f>
        <v>5.91</v>
      </c>
      <c r="AQ62">
        <f>IF(Source!BI29&lt;=1,J52,0)</f>
        <v>279</v>
      </c>
      <c r="AX62">
        <f>IF(Source!BI29=2,J52+J53+J55+J60+J61,0)</f>
        <v>0</v>
      </c>
      <c r="AY62">
        <f>IF(Source!BI29=2,J55,0)</f>
        <v>0</v>
      </c>
      <c r="AZ62">
        <f>IF(Source!BI29=2,J53,0)</f>
        <v>0</v>
      </c>
      <c r="BA62">
        <f>IF(Source!BI29=2,J52,0)</f>
        <v>0</v>
      </c>
    </row>
    <row r="63" spans="1:56" ht="57">
      <c r="A63" s="74">
        <v>2</v>
      </c>
      <c r="B63" s="74" t="s">
        <v>343</v>
      </c>
      <c r="C63" s="74" t="str">
        <f>Source!G31</f>
        <v>Смена стекол толщиной 4-6 мм в металлических переплетах на штапиках: по эластичной прокладке при площади стекол (Применительно)</v>
      </c>
      <c r="D63" s="56" t="str">
        <f>Source!DW31</f>
        <v>100 м2</v>
      </c>
      <c r="E63" s="57">
        <f>Source!K31</f>
        <v>2.7816</v>
      </c>
      <c r="F63" s="57"/>
      <c r="G63" s="57">
        <f>Source!I31</f>
        <v>2.7816</v>
      </c>
      <c r="H63" s="49"/>
      <c r="I63" s="58"/>
      <c r="J63" s="49"/>
      <c r="K63" s="58"/>
      <c r="L63" s="49"/>
      <c r="AG63">
        <f>ROUND((Source!AT31/100)*((ROUND(Source!AF31*Source!I31,2)+ROUND(Source!AE31*Source!I31,2))),2)</f>
        <v>3049.29</v>
      </c>
      <c r="AH63">
        <f>Source!X31</f>
        <v>113860.49</v>
      </c>
      <c r="AI63">
        <f>ROUND((Source!AU31/100)*((ROUND(Source!AF31*Source!I31,2)+ROUND(Source!AE31*Source!I31,2))),2)</f>
        <v>1524.65</v>
      </c>
      <c r="AJ63">
        <f>Source!Y31</f>
        <v>56930.24</v>
      </c>
      <c r="AS63">
        <f>IF(Source!BI31&lt;=1,AH63,0)</f>
        <v>113860.49</v>
      </c>
      <c r="AT63">
        <f>IF(Source!BI31&lt;=1,AJ63,0)</f>
        <v>56930.24</v>
      </c>
      <c r="BC63">
        <f>IF(Source!BI31=2,AH63,0)</f>
        <v>0</v>
      </c>
      <c r="BD63">
        <f>IF(Source!BI31=2,AJ63,0)</f>
        <v>0</v>
      </c>
    </row>
    <row r="65" ht="12.75">
      <c r="C65" s="46" t="str">
        <f>"Объем: "&amp;Source!K31&amp;"=278,16/"&amp;"100"</f>
        <v>Объем: 2,7816=278,16/100</v>
      </c>
    </row>
    <row r="66" spans="1:12" ht="14.25">
      <c r="A66" s="74"/>
      <c r="B66" s="75">
        <v>1</v>
      </c>
      <c r="C66" s="74" t="s">
        <v>328</v>
      </c>
      <c r="D66" s="56"/>
      <c r="E66" s="57"/>
      <c r="F66" s="57"/>
      <c r="G66" s="57"/>
      <c r="H66" s="49">
        <f>Source!AO31</f>
        <v>1211.76</v>
      </c>
      <c r="I66" s="58"/>
      <c r="J66" s="49">
        <f>ROUND(Source!AF31*Source!I31,2)</f>
        <v>3370.63</v>
      </c>
      <c r="K66" s="58">
        <f>IF(Source!BA31&lt;&gt;0,Source!BA31,1)</f>
        <v>37.34</v>
      </c>
      <c r="L66" s="49">
        <f>Source!S31</f>
        <v>125859.38</v>
      </c>
    </row>
    <row r="67" spans="1:12" ht="14.25">
      <c r="A67" s="74"/>
      <c r="B67" s="75">
        <v>3</v>
      </c>
      <c r="C67" s="74" t="s">
        <v>329</v>
      </c>
      <c r="D67" s="56"/>
      <c r="E67" s="57"/>
      <c r="F67" s="57"/>
      <c r="G67" s="57"/>
      <c r="H67" s="49">
        <f>Source!AM31</f>
        <v>24.25</v>
      </c>
      <c r="I67" s="58"/>
      <c r="J67" s="49">
        <f>ROUND((((Source!ET31)-(Source!EU31))+Source!AE31)*Source!I31,2)</f>
        <v>67.45</v>
      </c>
      <c r="K67" s="58">
        <f>IF(Source!BB31&lt;&gt;0,Source!BB31,1)</f>
        <v>13.24</v>
      </c>
      <c r="L67" s="49">
        <f>Source!Q31</f>
        <v>893.09</v>
      </c>
    </row>
    <row r="68" spans="1:12" ht="14.25">
      <c r="A68" s="74"/>
      <c r="B68" s="75">
        <v>2</v>
      </c>
      <c r="C68" s="74" t="s">
        <v>330</v>
      </c>
      <c r="D68" s="56"/>
      <c r="E68" s="57"/>
      <c r="F68" s="57"/>
      <c r="G68" s="57"/>
      <c r="H68" s="49">
        <f>Source!AN31</f>
        <v>6.28</v>
      </c>
      <c r="I68" s="58"/>
      <c r="J68" s="59">
        <f>ROUND(Source!AE31*Source!I31,2)</f>
        <v>17.47</v>
      </c>
      <c r="K68" s="58">
        <f>IF(Source!BS31&lt;&gt;0,Source!BS31,1)</f>
        <v>37.34</v>
      </c>
      <c r="L68" s="59">
        <f>Source!R31</f>
        <v>652.27</v>
      </c>
    </row>
    <row r="69" spans="1:12" ht="14.25">
      <c r="A69" s="74"/>
      <c r="B69" s="75">
        <v>4</v>
      </c>
      <c r="C69" s="74" t="s">
        <v>331</v>
      </c>
      <c r="D69" s="56"/>
      <c r="E69" s="57"/>
      <c r="F69" s="57"/>
      <c r="G69" s="57"/>
      <c r="H69" s="49">
        <f>Source!AL31</f>
        <v>891.63</v>
      </c>
      <c r="I69" s="58"/>
      <c r="J69" s="49">
        <f>ROUND(Source!AC31*Source!I31,2)</f>
        <v>2480.16</v>
      </c>
      <c r="K69" s="58">
        <f>IF(Source!BC31&lt;&gt;0,Source!BC31,1)</f>
        <v>6.72</v>
      </c>
      <c r="L69" s="49">
        <f>Source!P31</f>
        <v>16666.66</v>
      </c>
    </row>
    <row r="70" spans="1:12" ht="14.25">
      <c r="A70" s="74"/>
      <c r="B70" s="74"/>
      <c r="C70" s="74" t="s">
        <v>332</v>
      </c>
      <c r="D70" s="56" t="s">
        <v>333</v>
      </c>
      <c r="E70" s="57">
        <f>Source!AQ31</f>
        <v>132</v>
      </c>
      <c r="F70" s="57"/>
      <c r="G70" s="110">
        <f>ROUND(Source!U31,7)</f>
        <v>367.1712</v>
      </c>
      <c r="H70" s="49"/>
      <c r="I70" s="58"/>
      <c r="J70" s="49"/>
      <c r="K70" s="58"/>
      <c r="L70" s="49"/>
    </row>
    <row r="71" spans="1:12" ht="14.25">
      <c r="A71" s="74"/>
      <c r="B71" s="74"/>
      <c r="C71" s="76" t="s">
        <v>334</v>
      </c>
      <c r="D71" s="60" t="s">
        <v>333</v>
      </c>
      <c r="E71" s="61">
        <f>Source!AR31</f>
        <v>0.5</v>
      </c>
      <c r="F71" s="61"/>
      <c r="G71" s="111">
        <f>ROUND(Source!V31,7)</f>
        <v>1.3908</v>
      </c>
      <c r="H71" s="62"/>
      <c r="I71" s="63"/>
      <c r="J71" s="62"/>
      <c r="K71" s="63"/>
      <c r="L71" s="62"/>
    </row>
    <row r="72" spans="1:12" ht="14.25">
      <c r="A72" s="74"/>
      <c r="B72" s="74"/>
      <c r="C72" s="74" t="s">
        <v>335</v>
      </c>
      <c r="D72" s="56"/>
      <c r="E72" s="57"/>
      <c r="F72" s="57"/>
      <c r="G72" s="57"/>
      <c r="H72" s="49">
        <f>H66+H67+H69</f>
        <v>2127.64</v>
      </c>
      <c r="I72" s="58"/>
      <c r="J72" s="49">
        <f>J66+J67+J69</f>
        <v>5918.24</v>
      </c>
      <c r="K72" s="58"/>
      <c r="L72" s="49">
        <f>L66+L67+L69</f>
        <v>143419.13</v>
      </c>
    </row>
    <row r="73" spans="1:56" ht="28.5">
      <c r="A73" s="74" t="s">
        <v>53</v>
      </c>
      <c r="B73" s="74" t="s">
        <v>344</v>
      </c>
      <c r="C73" s="74" t="str">
        <f>Source!G33</f>
        <v>Стекло листовое М1, площадь до 1,0 м2, группа 1, толщина 6 мм</v>
      </c>
      <c r="D73" s="56" t="str">
        <f>Source!DW33</f>
        <v>м2</v>
      </c>
      <c r="E73" s="110">
        <f>SmtRes!AT28</f>
        <v>20.736267</v>
      </c>
      <c r="F73" s="57"/>
      <c r="G73" s="57">
        <f>Source!I33</f>
        <v>57.68</v>
      </c>
      <c r="H73" s="49">
        <f>Source!AL33+Source!AO33+Source!AM33</f>
        <v>56.67</v>
      </c>
      <c r="I73" s="58"/>
      <c r="J73" s="49">
        <f>ROUND(Source!AC33*Source!I33,2)+ROUND((((Source!ET33)-(Source!EU33))+Source!AE33)*Source!I33,2)+ROUND(Source!AF33*Source!I33,2)</f>
        <v>3268.73</v>
      </c>
      <c r="K73" s="58">
        <f>IF(Source!BC33&lt;&gt;0,Source!BC33,1)</f>
        <v>6.72</v>
      </c>
      <c r="L73" s="49">
        <f>Source!O33</f>
        <v>21965.84</v>
      </c>
      <c r="AF73" s="48">
        <f>J73</f>
        <v>3268.73</v>
      </c>
      <c r="AG73">
        <f>ROUND((Source!AT33/100)*((ROUND(Source!AF33*Source!I33,2)+ROUND(Source!AE33*Source!I33,2))),2)</f>
        <v>0</v>
      </c>
      <c r="AH73">
        <f>Source!X33</f>
        <v>0</v>
      </c>
      <c r="AI73">
        <f>ROUND((Source!AU33/100)*((ROUND(Source!AF33*Source!I33,2)+ROUND(Source!AE33*Source!I33,2))),2)</f>
        <v>0</v>
      </c>
      <c r="AJ73">
        <f>Source!Y33</f>
        <v>0</v>
      </c>
      <c r="AN73">
        <f>IF(Source!BI33&lt;=1,J73,0)</f>
        <v>3268.73</v>
      </c>
      <c r="AO73">
        <f>IF(Source!BI33&lt;=1,J73,0)</f>
        <v>3268.73</v>
      </c>
      <c r="AS73">
        <f>IF(Source!BI33&lt;=1,AH73,0)</f>
        <v>0</v>
      </c>
      <c r="AT73">
        <f>IF(Source!BI33&lt;=1,AJ73,0)</f>
        <v>0</v>
      </c>
      <c r="AX73">
        <f>IF(Source!BI33=2,J73,0)</f>
        <v>0</v>
      </c>
      <c r="AY73">
        <f>IF(Source!BI33=2,J73,0)</f>
        <v>0</v>
      </c>
      <c r="BC73">
        <f>IF(Source!BI33=2,AH73,0)</f>
        <v>0</v>
      </c>
      <c r="BD73">
        <f>IF(Source!BI33=2,AJ73,0)</f>
        <v>0</v>
      </c>
    </row>
    <row r="74" spans="1:56" ht="28.5">
      <c r="A74" s="74" t="s">
        <v>58</v>
      </c>
      <c r="B74" s="74" t="s">
        <v>345</v>
      </c>
      <c r="C74" s="74" t="str">
        <f>Source!G35</f>
        <v>Стекло листовое площадью до 4,3 м2, 1 группы, толщиной: 7 мм, марки М7</v>
      </c>
      <c r="D74" s="56" t="str">
        <f>Source!DW35</f>
        <v>м2</v>
      </c>
      <c r="E74" s="110">
        <f>SmtRes!AT29</f>
        <v>80.788036</v>
      </c>
      <c r="F74" s="57"/>
      <c r="G74" s="110">
        <f>Source!I35</f>
        <v>224.72</v>
      </c>
      <c r="H74" s="49">
        <f>Source!AL35+Source!AO35+Source!AM35</f>
        <v>53.54</v>
      </c>
      <c r="I74" s="58"/>
      <c r="J74" s="49">
        <f>ROUND(Source!AC35*Source!I35,2)+ROUND((((Source!ET35)-(Source!EU35))+Source!AE35)*Source!I35,2)+ROUND(Source!AF35*Source!I35,2)</f>
        <v>12031.51</v>
      </c>
      <c r="K74" s="58">
        <f>IF(Source!BC35&lt;&gt;0,Source!BC35,1)</f>
        <v>6.72</v>
      </c>
      <c r="L74" s="49">
        <f>Source!O35</f>
        <v>80851.74</v>
      </c>
      <c r="AF74" s="48">
        <f>J74</f>
        <v>12031.51</v>
      </c>
      <c r="AG74">
        <f>ROUND((Source!AT35/100)*((ROUND(Source!AF35*Source!I35,2)+ROUND(Source!AE35*Source!I35,2))),2)</f>
        <v>0</v>
      </c>
      <c r="AH74">
        <f>Source!X35</f>
        <v>0</v>
      </c>
      <c r="AI74">
        <f>ROUND((Source!AU35/100)*((ROUND(Source!AF35*Source!I35,2)+ROUND(Source!AE35*Source!I35,2))),2)</f>
        <v>0</v>
      </c>
      <c r="AJ74">
        <f>Source!Y35</f>
        <v>0</v>
      </c>
      <c r="AN74">
        <f>IF(Source!BI35&lt;=1,J74,0)</f>
        <v>12031.51</v>
      </c>
      <c r="AO74">
        <f>IF(Source!BI35&lt;=1,J74,0)</f>
        <v>12031.51</v>
      </c>
      <c r="AS74">
        <f>IF(Source!BI35&lt;=1,AH74,0)</f>
        <v>0</v>
      </c>
      <c r="AT74">
        <f>IF(Source!BI35&lt;=1,AJ74,0)</f>
        <v>0</v>
      </c>
      <c r="AX74">
        <f>IF(Source!BI35=2,J74,0)</f>
        <v>0</v>
      </c>
      <c r="AY74">
        <f>IF(Source!BI35=2,J74,0)</f>
        <v>0</v>
      </c>
      <c r="BC74">
        <f>IF(Source!BI35=2,AH74,0)</f>
        <v>0</v>
      </c>
      <c r="BD74">
        <f>IF(Source!BI35=2,AJ74,0)</f>
        <v>0</v>
      </c>
    </row>
    <row r="75" spans="1:56" ht="14.25">
      <c r="A75" s="74" t="s">
        <v>62</v>
      </c>
      <c r="B75" s="74" t="s">
        <v>63</v>
      </c>
      <c r="C75" s="74" t="str">
        <f>Source!G37</f>
        <v>Строительный мусор</v>
      </c>
      <c r="D75" s="56" t="str">
        <f>Source!DW37</f>
        <v>т</v>
      </c>
      <c r="E75" s="57">
        <f>SmtRes!AT30</f>
        <v>0.98</v>
      </c>
      <c r="F75" s="57"/>
      <c r="G75" s="110">
        <f>Source!I37</f>
        <v>2.725968</v>
      </c>
      <c r="H75" s="49">
        <f>Source!AL37+Source!AO37+Source!AM37</f>
        <v>0</v>
      </c>
      <c r="I75" s="58"/>
      <c r="J75" s="49">
        <f>ROUND(Source!AC37*Source!I37,2)+ROUND((((Source!ET37)-(Source!EU37))+Source!AE37)*Source!I37,2)+ROUND(Source!AF37*Source!I37,2)</f>
        <v>0</v>
      </c>
      <c r="K75" s="58">
        <f>IF(Source!BC37&lt;&gt;0,Source!BC37,1)</f>
        <v>6.72</v>
      </c>
      <c r="L75" s="49">
        <f>Source!O37</f>
        <v>0</v>
      </c>
      <c r="AF75" s="48">
        <f>J75</f>
        <v>0</v>
      </c>
      <c r="AG75">
        <f>ROUND((Source!AT37/100)*((ROUND(Source!AF37*Source!I37,2)+ROUND(Source!AE37*Source!I37,2))),2)</f>
        <v>0</v>
      </c>
      <c r="AH75">
        <f>Source!X37</f>
        <v>0</v>
      </c>
      <c r="AI75">
        <f>ROUND((Source!AU37/100)*((ROUND(Source!AF37*Source!I37,2)+ROUND(Source!AE37*Source!I37,2))),2)</f>
        <v>0</v>
      </c>
      <c r="AJ75">
        <f>Source!Y37</f>
        <v>0</v>
      </c>
      <c r="AN75">
        <f>IF(Source!BI37&lt;=1,J75,0)</f>
        <v>0</v>
      </c>
      <c r="AO75">
        <f>IF(Source!BI37&lt;=1,J75,0)</f>
        <v>0</v>
      </c>
      <c r="AS75">
        <f>IF(Source!BI37&lt;=1,AH75,0)</f>
        <v>0</v>
      </c>
      <c r="AT75">
        <f>IF(Source!BI37&lt;=1,AJ75,0)</f>
        <v>0</v>
      </c>
      <c r="AX75">
        <f>IF(Source!BI37=2,J75,0)</f>
        <v>0</v>
      </c>
      <c r="AY75">
        <f>IF(Source!BI37=2,J75,0)</f>
        <v>0</v>
      </c>
      <c r="BC75">
        <f>IF(Source!BI37=2,AH75,0)</f>
        <v>0</v>
      </c>
      <c r="BD75">
        <f>IF(Source!BI37=2,AJ75,0)</f>
        <v>0</v>
      </c>
    </row>
    <row r="76" spans="1:12" ht="14.25">
      <c r="A76" s="74"/>
      <c r="B76" s="74"/>
      <c r="C76" s="74" t="s">
        <v>336</v>
      </c>
      <c r="D76" s="56"/>
      <c r="E76" s="57"/>
      <c r="F76" s="57"/>
      <c r="G76" s="57"/>
      <c r="H76" s="49"/>
      <c r="I76" s="58"/>
      <c r="J76" s="49">
        <f>SUM(Q63:Q79)+SUM(V63:V79)+SUM(X63:X79)+SUM(Y63:Y79)</f>
        <v>3388.1</v>
      </c>
      <c r="K76" s="58"/>
      <c r="L76" s="49">
        <f>SUM(U63:U79)+SUM(W63:W79)+SUM(Z63:Z79)+SUM(AA63:AA79)</f>
        <v>126511.65000000001</v>
      </c>
    </row>
    <row r="77" spans="1:12" ht="28.5">
      <c r="A77" s="74"/>
      <c r="B77" s="74" t="s">
        <v>51</v>
      </c>
      <c r="C77" s="74" t="s">
        <v>346</v>
      </c>
      <c r="D77" s="56" t="s">
        <v>339</v>
      </c>
      <c r="E77" s="57">
        <f>Source!BZ31</f>
        <v>90</v>
      </c>
      <c r="F77" s="57"/>
      <c r="G77" s="57">
        <f>Source!AT31</f>
        <v>90</v>
      </c>
      <c r="H77" s="49"/>
      <c r="I77" s="58"/>
      <c r="J77" s="49">
        <f>SUM(AG63:AG79)</f>
        <v>3049.29</v>
      </c>
      <c r="K77" s="58"/>
      <c r="L77" s="49">
        <f>SUM(AH63:AH79)</f>
        <v>113860.49</v>
      </c>
    </row>
    <row r="78" spans="1:12" ht="28.5">
      <c r="A78" s="76"/>
      <c r="B78" s="76" t="s">
        <v>52</v>
      </c>
      <c r="C78" s="76" t="s">
        <v>347</v>
      </c>
      <c r="D78" s="60" t="s">
        <v>339</v>
      </c>
      <c r="E78" s="61">
        <f>Source!CA31</f>
        <v>45</v>
      </c>
      <c r="F78" s="61"/>
      <c r="G78" s="61">
        <f>Source!AU31</f>
        <v>45</v>
      </c>
      <c r="H78" s="62"/>
      <c r="I78" s="63"/>
      <c r="J78" s="62">
        <f>SUM(AI63:AI79)</f>
        <v>1524.65</v>
      </c>
      <c r="K78" s="63"/>
      <c r="L78" s="62">
        <f>SUM(AJ63:AJ79)</f>
        <v>56930.24</v>
      </c>
    </row>
    <row r="79" spans="3:53" ht="15">
      <c r="C79" s="142" t="s">
        <v>342</v>
      </c>
      <c r="D79" s="142"/>
      <c r="E79" s="142"/>
      <c r="F79" s="142"/>
      <c r="G79" s="142"/>
      <c r="H79" s="142"/>
      <c r="I79" s="142">
        <f>J66+J67+J69+J77+J78+SUM(J73:J75)</f>
        <v>25792.42</v>
      </c>
      <c r="J79" s="142"/>
      <c r="K79" s="142">
        <f>L66+L67+L69+L77+L78+SUM(L73:L75)</f>
        <v>417027.44</v>
      </c>
      <c r="L79" s="142"/>
      <c r="O79" s="48">
        <f>I79</f>
        <v>25792.42</v>
      </c>
      <c r="P79" s="48">
        <f>K79</f>
        <v>417027.44</v>
      </c>
      <c r="Q79" s="48">
        <f>J66</f>
        <v>3370.63</v>
      </c>
      <c r="R79" s="48">
        <f>J66</f>
        <v>3370.63</v>
      </c>
      <c r="U79" s="48">
        <f>L66</f>
        <v>125859.38</v>
      </c>
      <c r="X79" s="48">
        <f>J68</f>
        <v>17.47</v>
      </c>
      <c r="Z79" s="48">
        <f>L68</f>
        <v>652.27</v>
      </c>
      <c r="AB79" s="48">
        <f>J67</f>
        <v>67.45</v>
      </c>
      <c r="AD79" s="48">
        <f>L67</f>
        <v>893.09</v>
      </c>
      <c r="AF79" s="48">
        <f>J69</f>
        <v>2480.16</v>
      </c>
      <c r="AN79">
        <f>IF(Source!BI31&lt;=1,J66+J67+J69+J77+J78,0)</f>
        <v>10492.179999999998</v>
      </c>
      <c r="AO79">
        <f>IF(Source!BI31&lt;=1,J69,0)</f>
        <v>2480.16</v>
      </c>
      <c r="AP79">
        <f>IF(Source!BI31&lt;=1,J67,0)</f>
        <v>67.45</v>
      </c>
      <c r="AQ79">
        <f>IF(Source!BI31&lt;=1,J66,0)</f>
        <v>3370.63</v>
      </c>
      <c r="AX79">
        <f>IF(Source!BI31=2,J66+J67+J69+J77+J78,0)</f>
        <v>0</v>
      </c>
      <c r="AY79">
        <f>IF(Source!BI31=2,J69,0)</f>
        <v>0</v>
      </c>
      <c r="AZ79">
        <f>IF(Source!BI31=2,J67,0)</f>
        <v>0</v>
      </c>
      <c r="BA79">
        <f>IF(Source!BI31=2,J66,0)</f>
        <v>0</v>
      </c>
    </row>
    <row r="80" spans="1:56" ht="130.5">
      <c r="A80" s="74">
        <v>3</v>
      </c>
      <c r="B80" s="74" t="s">
        <v>348</v>
      </c>
      <c r="C80" s="74" t="s">
        <v>349</v>
      </c>
      <c r="D80" s="56" t="str">
        <f>Source!DW39</f>
        <v>100 м</v>
      </c>
      <c r="E80" s="57">
        <f>Source!K39</f>
        <v>7.2344</v>
      </c>
      <c r="F80" s="57"/>
      <c r="G80" s="57">
        <f>Source!I39</f>
        <v>7.2344</v>
      </c>
      <c r="H80" s="49"/>
      <c r="I80" s="58"/>
      <c r="J80" s="49"/>
      <c r="K80" s="58"/>
      <c r="L80" s="49"/>
      <c r="AG80">
        <f>ROUND((Source!AT39/100)*((ROUND(Source!AF39*Source!I39,2)+ROUND(Source!AE39*Source!I39,2))),2)</f>
        <v>520.83</v>
      </c>
      <c r="AH80">
        <f>Source!X39</f>
        <v>19447.99</v>
      </c>
      <c r="AI80">
        <f>ROUND((Source!AU39/100)*((ROUND(Source!AF39*Source!I39,2)+ROUND(Source!AE39*Source!I39,2))),2)</f>
        <v>339.24</v>
      </c>
      <c r="AJ80">
        <f>Source!Y39</f>
        <v>12667.27</v>
      </c>
      <c r="AS80">
        <f>IF(Source!BI39&lt;=1,AH80,0)</f>
        <v>19447.99</v>
      </c>
      <c r="AT80">
        <f>IF(Source!BI39&lt;=1,AJ80,0)</f>
        <v>12667.27</v>
      </c>
      <c r="BC80">
        <f>IF(Source!BI39=2,AH80,0)</f>
        <v>0</v>
      </c>
      <c r="BD80">
        <f>IF(Source!BI39=2,AJ80,0)</f>
        <v>0</v>
      </c>
    </row>
    <row r="81" ht="38.25">
      <c r="B81" s="45" t="str">
        <f>Source!EO39</f>
        <v>Поправка: М-ка 421/пр 04.08.20 п.58 п.п. б)</v>
      </c>
    </row>
    <row r="82" ht="12.75">
      <c r="C82" s="46" t="str">
        <f>"Объем: "&amp;Source!K39&amp;"=723,44/"&amp;"100"</f>
        <v>Объем: 7,2344=723,44/100</v>
      </c>
    </row>
    <row r="83" spans="1:12" ht="14.25">
      <c r="A83" s="74"/>
      <c r="B83" s="75">
        <v>1</v>
      </c>
      <c r="C83" s="74" t="s">
        <v>328</v>
      </c>
      <c r="D83" s="56"/>
      <c r="E83" s="57"/>
      <c r="F83" s="57"/>
      <c r="G83" s="57"/>
      <c r="H83" s="49">
        <f>Source!AO39</f>
        <v>58.32</v>
      </c>
      <c r="I83" s="58">
        <f>ROUND(1.15,7)</f>
        <v>1.15</v>
      </c>
      <c r="J83" s="49">
        <f>ROUND(Source!AF39*Source!I39,2)</f>
        <v>485.21</v>
      </c>
      <c r="K83" s="58">
        <f>IF(Source!BA39&lt;&gt;0,Source!BA39,1)</f>
        <v>37.34</v>
      </c>
      <c r="L83" s="49">
        <f>Source!S39</f>
        <v>18117.79</v>
      </c>
    </row>
    <row r="84" spans="1:12" ht="14.25">
      <c r="A84" s="74"/>
      <c r="B84" s="75">
        <v>3</v>
      </c>
      <c r="C84" s="74" t="s">
        <v>329</v>
      </c>
      <c r="D84" s="56"/>
      <c r="E84" s="57"/>
      <c r="F84" s="57"/>
      <c r="G84" s="57"/>
      <c r="H84" s="49">
        <f>Source!AM39</f>
        <v>8.54</v>
      </c>
      <c r="I84" s="58">
        <f>ROUND(1.25,7)</f>
        <v>1.25</v>
      </c>
      <c r="J84" s="49">
        <f>ROUND(((((Source!ET39*ROUND(1.25,7)))-((Source!EU39*ROUND(1.25,7))))+Source!AE39)*Source!I39,2)</f>
        <v>77.25</v>
      </c>
      <c r="K84" s="58">
        <f>IF(Source!BB39&lt;&gt;0,Source!BB39,1)</f>
        <v>13.24</v>
      </c>
      <c r="L84" s="49">
        <f>Source!Q39</f>
        <v>1023.16</v>
      </c>
    </row>
    <row r="85" spans="1:12" ht="14.25">
      <c r="A85" s="74"/>
      <c r="B85" s="75">
        <v>2</v>
      </c>
      <c r="C85" s="74" t="s">
        <v>330</v>
      </c>
      <c r="D85" s="56"/>
      <c r="E85" s="57"/>
      <c r="F85" s="57"/>
      <c r="G85" s="57"/>
      <c r="H85" s="49">
        <f>Source!AN39</f>
        <v>1.51</v>
      </c>
      <c r="I85" s="58">
        <f>ROUND(1.25,7)</f>
        <v>1.25</v>
      </c>
      <c r="J85" s="59">
        <f>ROUND(Source!AE39*Source!I39,2)</f>
        <v>13.67</v>
      </c>
      <c r="K85" s="58">
        <f>IF(Source!BS39&lt;&gt;0,Source!BS39,1)</f>
        <v>37.34</v>
      </c>
      <c r="L85" s="59">
        <f>Source!R39</f>
        <v>510.55</v>
      </c>
    </row>
    <row r="86" spans="1:12" ht="14.25">
      <c r="A86" s="74"/>
      <c r="B86" s="75">
        <v>4</v>
      </c>
      <c r="C86" s="74" t="s">
        <v>331</v>
      </c>
      <c r="D86" s="56"/>
      <c r="E86" s="57"/>
      <c r="F86" s="57"/>
      <c r="G86" s="57"/>
      <c r="H86" s="49">
        <f>Source!AL39</f>
        <v>2919.64</v>
      </c>
      <c r="I86" s="58"/>
      <c r="J86" s="49">
        <f>ROUND(Source!AC39*Source!I39,2)</f>
        <v>21121.84</v>
      </c>
      <c r="K86" s="58">
        <f>IF(Source!BC39&lt;&gt;0,Source!BC39,1)</f>
        <v>6.72</v>
      </c>
      <c r="L86" s="49">
        <f>Source!P39</f>
        <v>141938.79</v>
      </c>
    </row>
    <row r="87" spans="1:12" ht="14.25">
      <c r="A87" s="74"/>
      <c r="B87" s="74"/>
      <c r="C87" s="74" t="s">
        <v>332</v>
      </c>
      <c r="D87" s="56" t="s">
        <v>333</v>
      </c>
      <c r="E87" s="57">
        <f>Source!AQ39</f>
        <v>6.43</v>
      </c>
      <c r="F87" s="57">
        <f>ROUND(1.15,7)</f>
        <v>1.15</v>
      </c>
      <c r="G87" s="110">
        <f>ROUND(Source!U39,7)</f>
        <v>53.4947708</v>
      </c>
      <c r="H87" s="49"/>
      <c r="I87" s="58"/>
      <c r="J87" s="49"/>
      <c r="K87" s="58"/>
      <c r="L87" s="49"/>
    </row>
    <row r="88" spans="1:12" ht="14.25">
      <c r="A88" s="74"/>
      <c r="B88" s="74"/>
      <c r="C88" s="76" t="s">
        <v>334</v>
      </c>
      <c r="D88" s="60" t="s">
        <v>333</v>
      </c>
      <c r="E88" s="61">
        <f>Source!AR39</f>
        <v>0.13</v>
      </c>
      <c r="F88" s="61">
        <f>ROUND(1.25,7)</f>
        <v>1.25</v>
      </c>
      <c r="G88" s="111">
        <f>ROUND(Source!V39,7)</f>
        <v>1.17559</v>
      </c>
      <c r="H88" s="62"/>
      <c r="I88" s="63"/>
      <c r="J88" s="62"/>
      <c r="K88" s="63"/>
      <c r="L88" s="62"/>
    </row>
    <row r="89" spans="1:12" ht="14.25">
      <c r="A89" s="74"/>
      <c r="B89" s="74"/>
      <c r="C89" s="74" t="s">
        <v>335</v>
      </c>
      <c r="D89" s="56"/>
      <c r="E89" s="57"/>
      <c r="F89" s="57"/>
      <c r="G89" s="57"/>
      <c r="H89" s="49">
        <f>H83+H84+H86</f>
        <v>2986.5</v>
      </c>
      <c r="I89" s="58"/>
      <c r="J89" s="49">
        <f>J83+J84+J86</f>
        <v>21684.3</v>
      </c>
      <c r="K89" s="58"/>
      <c r="L89" s="49">
        <f>L83+L84+L86</f>
        <v>161079.74000000002</v>
      </c>
    </row>
    <row r="90" spans="1:12" ht="14.25">
      <c r="A90" s="74"/>
      <c r="B90" s="74"/>
      <c r="C90" s="74" t="s">
        <v>336</v>
      </c>
      <c r="D90" s="56"/>
      <c r="E90" s="57"/>
      <c r="F90" s="57"/>
      <c r="G90" s="57"/>
      <c r="H90" s="49"/>
      <c r="I90" s="58"/>
      <c r="J90" s="49">
        <f>SUM(Q80:Q93)+SUM(V80:V93)+SUM(X80:X93)+SUM(Y80:Y93)</f>
        <v>498.88</v>
      </c>
      <c r="K90" s="58"/>
      <c r="L90" s="49">
        <f>SUM(U80:U93)+SUM(W80:W93)+SUM(Z80:Z93)+SUM(AA80:AA93)</f>
        <v>18628.34</v>
      </c>
    </row>
    <row r="91" spans="1:12" ht="71.25">
      <c r="A91" s="74"/>
      <c r="B91" s="74" t="s">
        <v>350</v>
      </c>
      <c r="C91" s="74" t="s">
        <v>351</v>
      </c>
      <c r="D91" s="56" t="s">
        <v>339</v>
      </c>
      <c r="E91" s="57">
        <f>Source!BZ39</f>
        <v>116</v>
      </c>
      <c r="F91" s="57">
        <f>ROUND(0.9,7)</f>
        <v>0.9</v>
      </c>
      <c r="G91" s="57">
        <f>Source!AT39</f>
        <v>104.4</v>
      </c>
      <c r="H91" s="49"/>
      <c r="I91" s="58"/>
      <c r="J91" s="49">
        <f>SUM(AG80:AG93)</f>
        <v>520.83</v>
      </c>
      <c r="K91" s="58"/>
      <c r="L91" s="49">
        <f>SUM(AH80:AH93)</f>
        <v>19447.99</v>
      </c>
    </row>
    <row r="92" spans="1:12" ht="71.25">
      <c r="A92" s="76"/>
      <c r="B92" s="76" t="s">
        <v>352</v>
      </c>
      <c r="C92" s="76" t="s">
        <v>353</v>
      </c>
      <c r="D92" s="60" t="s">
        <v>339</v>
      </c>
      <c r="E92" s="61">
        <f>Source!CA39</f>
        <v>80</v>
      </c>
      <c r="F92" s="61">
        <f>ROUND(0.85,7)</f>
        <v>0.85</v>
      </c>
      <c r="G92" s="61">
        <f>Source!AU39</f>
        <v>68</v>
      </c>
      <c r="H92" s="62"/>
      <c r="I92" s="63"/>
      <c r="J92" s="62">
        <f>SUM(AI80:AI93)</f>
        <v>339.24</v>
      </c>
      <c r="K92" s="63"/>
      <c r="L92" s="62">
        <f>SUM(AJ80:AJ93)</f>
        <v>12667.27</v>
      </c>
    </row>
    <row r="93" spans="3:53" ht="15">
      <c r="C93" s="142" t="s">
        <v>342</v>
      </c>
      <c r="D93" s="142"/>
      <c r="E93" s="142"/>
      <c r="F93" s="142"/>
      <c r="G93" s="142"/>
      <c r="H93" s="142"/>
      <c r="I93" s="142">
        <f>J83+J84+J86+J91+J92</f>
        <v>22544.370000000003</v>
      </c>
      <c r="J93" s="142"/>
      <c r="K93" s="142">
        <f>L83+L84+L86+L91+L92</f>
        <v>193195</v>
      </c>
      <c r="L93" s="142"/>
      <c r="O93" s="48">
        <f>I93</f>
        <v>22544.370000000003</v>
      </c>
      <c r="P93" s="48">
        <f>K93</f>
        <v>193195</v>
      </c>
      <c r="Q93" s="48">
        <f>J83</f>
        <v>485.21</v>
      </c>
      <c r="R93" s="48">
        <f>J83</f>
        <v>485.21</v>
      </c>
      <c r="U93" s="48">
        <f>L83</f>
        <v>18117.79</v>
      </c>
      <c r="X93" s="48">
        <f>J85</f>
        <v>13.67</v>
      </c>
      <c r="Z93" s="48">
        <f>L85</f>
        <v>510.55</v>
      </c>
      <c r="AB93" s="48">
        <f>J84</f>
        <v>77.25</v>
      </c>
      <c r="AD93" s="48">
        <f>L84</f>
        <v>1023.16</v>
      </c>
      <c r="AF93" s="48">
        <f>J86</f>
        <v>21121.84</v>
      </c>
      <c r="AN93">
        <f>IF(Source!BI39&lt;=1,J83+J84+J86+J91+J92,0)</f>
        <v>22544.370000000003</v>
      </c>
      <c r="AO93">
        <f>IF(Source!BI39&lt;=1,J86,0)</f>
        <v>21121.84</v>
      </c>
      <c r="AP93">
        <f>IF(Source!BI39&lt;=1,J84,0)</f>
        <v>77.25</v>
      </c>
      <c r="AQ93">
        <f>IF(Source!BI39&lt;=1,J83,0)</f>
        <v>485.21</v>
      </c>
      <c r="AX93">
        <f>IF(Source!BI39=2,J83+J84+J86+J91+J92,0)</f>
        <v>0</v>
      </c>
      <c r="AY93">
        <f>IF(Source!BI39=2,J86,0)</f>
        <v>0</v>
      </c>
      <c r="AZ93">
        <f>IF(Source!BI39=2,J84,0)</f>
        <v>0</v>
      </c>
      <c r="BA93">
        <f>IF(Source!BI39=2,J83,0)</f>
        <v>0</v>
      </c>
    </row>
    <row r="95" spans="1:95" ht="15">
      <c r="A95" s="66"/>
      <c r="B95" s="67"/>
      <c r="C95" s="145" t="s">
        <v>354</v>
      </c>
      <c r="D95" s="145"/>
      <c r="E95" s="145"/>
      <c r="F95" s="145"/>
      <c r="G95" s="145"/>
      <c r="H95" s="145"/>
      <c r="I95" s="68"/>
      <c r="J95" s="69">
        <f>J97+J98+J99+J100</f>
        <v>43339.479999999996</v>
      </c>
      <c r="K95" s="69"/>
      <c r="L95" s="69">
        <f>L97+L98+L99+L100</f>
        <v>418832.76</v>
      </c>
      <c r="CQ95" s="78" t="s">
        <v>354</v>
      </c>
    </row>
    <row r="96" spans="1:12" ht="14.25">
      <c r="A96" s="70"/>
      <c r="B96" s="71"/>
      <c r="C96" s="144" t="s">
        <v>355</v>
      </c>
      <c r="D96" s="132"/>
      <c r="E96" s="132"/>
      <c r="F96" s="132"/>
      <c r="G96" s="132"/>
      <c r="H96" s="132"/>
      <c r="I96" s="72"/>
      <c r="J96" s="73"/>
      <c r="K96" s="73"/>
      <c r="L96" s="73"/>
    </row>
    <row r="97" spans="1:12" ht="14.25">
      <c r="A97" s="70"/>
      <c r="B97" s="71"/>
      <c r="C97" s="132" t="s">
        <v>356</v>
      </c>
      <c r="D97" s="132"/>
      <c r="E97" s="132"/>
      <c r="F97" s="132"/>
      <c r="G97" s="132"/>
      <c r="H97" s="132"/>
      <c r="I97" s="72"/>
      <c r="J97" s="73">
        <f>SUM(Q48:Q93)</f>
        <v>4134.84</v>
      </c>
      <c r="K97" s="73"/>
      <c r="L97" s="73">
        <f>SUM(U48:U93)</f>
        <v>154395.18000000002</v>
      </c>
    </row>
    <row r="98" spans="1:12" ht="14.25">
      <c r="A98" s="70"/>
      <c r="B98" s="71"/>
      <c r="C98" s="132" t="s">
        <v>357</v>
      </c>
      <c r="D98" s="132"/>
      <c r="E98" s="132"/>
      <c r="F98" s="132"/>
      <c r="G98" s="132"/>
      <c r="H98" s="132"/>
      <c r="I98" s="72"/>
      <c r="J98" s="73">
        <f>SUM(AB48:AB93)</f>
        <v>150.61</v>
      </c>
      <c r="K98" s="73"/>
      <c r="L98" s="73">
        <f>SUM(AD48:AD93)</f>
        <v>1994.53</v>
      </c>
    </row>
    <row r="99" spans="1:12" ht="14.25">
      <c r="A99" s="70"/>
      <c r="B99" s="71"/>
      <c r="C99" s="132" t="s">
        <v>358</v>
      </c>
      <c r="D99" s="132"/>
      <c r="E99" s="132"/>
      <c r="F99" s="132"/>
      <c r="G99" s="132"/>
      <c r="H99" s="132"/>
      <c r="I99" s="72"/>
      <c r="J99" s="73">
        <f>SUM(AF48:AF93)-J104</f>
        <v>39054.03</v>
      </c>
      <c r="K99" s="73"/>
      <c r="L99" s="73">
        <f>Source!P44-L104</f>
        <v>262443.05</v>
      </c>
    </row>
    <row r="100" spans="1:12" ht="13.5" customHeight="1" hidden="1">
      <c r="A100" s="70"/>
      <c r="B100" s="71"/>
      <c r="C100" s="132" t="s">
        <v>359</v>
      </c>
      <c r="D100" s="132"/>
      <c r="E100" s="132"/>
      <c r="F100" s="132"/>
      <c r="G100" s="132"/>
      <c r="H100" s="132"/>
      <c r="I100" s="72"/>
      <c r="J100" s="73">
        <f>SUM(AR48:AR93)+SUM(BB48:BB93)+SUM(BI48:BI93)+SUM(BP48:BP93)</f>
        <v>0</v>
      </c>
      <c r="K100" s="73"/>
      <c r="L100" s="73">
        <f>Source!P66</f>
        <v>0</v>
      </c>
    </row>
    <row r="101" spans="1:12" ht="14.25">
      <c r="A101" s="70"/>
      <c r="B101" s="71"/>
      <c r="C101" s="132" t="s">
        <v>360</v>
      </c>
      <c r="D101" s="132"/>
      <c r="E101" s="132"/>
      <c r="F101" s="132"/>
      <c r="G101" s="132"/>
      <c r="H101" s="132"/>
      <c r="I101" s="72"/>
      <c r="J101" s="73">
        <f>SUM(Q48:Q93)+SUM(X48:X93)</f>
        <v>4167.02</v>
      </c>
      <c r="K101" s="73"/>
      <c r="L101" s="73">
        <f>SUM(U48:U93)+SUM(Z48:Z93)</f>
        <v>155596.98</v>
      </c>
    </row>
    <row r="102" spans="1:12" ht="14.25">
      <c r="A102" s="70"/>
      <c r="B102" s="71"/>
      <c r="C102" s="132" t="s">
        <v>361</v>
      </c>
      <c r="D102" s="132"/>
      <c r="E102" s="132"/>
      <c r="F102" s="132"/>
      <c r="G102" s="132"/>
      <c r="H102" s="132"/>
      <c r="I102" s="72"/>
      <c r="J102" s="73">
        <f>SUM(AG48:AG93)</f>
        <v>3847.3599999999997</v>
      </c>
      <c r="K102" s="73"/>
      <c r="L102" s="73">
        <f>Source!P67</f>
        <v>143660.9</v>
      </c>
    </row>
    <row r="103" spans="1:12" ht="14.25">
      <c r="A103" s="70"/>
      <c r="B103" s="71"/>
      <c r="C103" s="132" t="s">
        <v>362</v>
      </c>
      <c r="D103" s="132"/>
      <c r="E103" s="132"/>
      <c r="F103" s="132"/>
      <c r="G103" s="132"/>
      <c r="H103" s="132"/>
      <c r="I103" s="72"/>
      <c r="J103" s="73">
        <f>SUM(AI48:AI93)</f>
        <v>2028.13</v>
      </c>
      <c r="K103" s="73"/>
      <c r="L103" s="73">
        <f>Source!P68</f>
        <v>75730.53</v>
      </c>
    </row>
    <row r="104" spans="1:12" ht="13.5" customHeight="1" hidden="1">
      <c r="A104" s="70"/>
      <c r="B104" s="71"/>
      <c r="C104" s="132" t="s">
        <v>363</v>
      </c>
      <c r="D104" s="132"/>
      <c r="E104" s="132"/>
      <c r="F104" s="132"/>
      <c r="G104" s="132"/>
      <c r="H104" s="132"/>
      <c r="I104" s="72"/>
      <c r="J104" s="73">
        <f>SUM(BH48:BH93)</f>
        <v>0</v>
      </c>
      <c r="K104" s="73"/>
      <c r="L104" s="73">
        <f>Source!P50</f>
        <v>0</v>
      </c>
    </row>
    <row r="105" spans="1:12" ht="13.5" customHeight="1" hidden="1">
      <c r="A105" s="70"/>
      <c r="B105" s="71"/>
      <c r="C105" s="132" t="s">
        <v>364</v>
      </c>
      <c r="D105" s="132"/>
      <c r="E105" s="132"/>
      <c r="F105" s="132"/>
      <c r="G105" s="132"/>
      <c r="H105" s="132"/>
      <c r="I105" s="72"/>
      <c r="J105" s="73">
        <f>SUM(BM48:BM93)+SUM(BN48:BN93)+SUM(BO48:BO93)+SUM(BP48:BP93)</f>
        <v>0</v>
      </c>
      <c r="K105" s="73"/>
      <c r="L105" s="73">
        <f>Source!P60</f>
        <v>0</v>
      </c>
    </row>
    <row r="106" spans="1:12" ht="15">
      <c r="A106" s="66"/>
      <c r="B106" s="67"/>
      <c r="C106" s="145" t="s">
        <v>365</v>
      </c>
      <c r="D106" s="145"/>
      <c r="E106" s="145"/>
      <c r="F106" s="145"/>
      <c r="G106" s="145"/>
      <c r="H106" s="145"/>
      <c r="I106" s="68"/>
      <c r="J106" s="69">
        <f>J95+J102+J103+J104</f>
        <v>49214.969999999994</v>
      </c>
      <c r="K106" s="69"/>
      <c r="L106" s="69">
        <f>Source!P69</f>
        <v>638224.19</v>
      </c>
    </row>
    <row r="107" spans="1:12" ht="13.5" customHeight="1" hidden="1">
      <c r="A107" s="70"/>
      <c r="B107" s="71"/>
      <c r="C107" s="144" t="s">
        <v>366</v>
      </c>
      <c r="D107" s="132"/>
      <c r="E107" s="132"/>
      <c r="F107" s="132"/>
      <c r="G107" s="132"/>
      <c r="H107" s="132"/>
      <c r="I107" s="72"/>
      <c r="J107" s="73"/>
      <c r="K107" s="73"/>
      <c r="L107" s="73"/>
    </row>
    <row r="108" spans="1:12" ht="13.5" customHeight="1" hidden="1">
      <c r="A108" s="70"/>
      <c r="B108" s="71"/>
      <c r="C108" s="132" t="s">
        <v>367</v>
      </c>
      <c r="D108" s="132"/>
      <c r="E108" s="132"/>
      <c r="F108" s="132"/>
      <c r="G108" s="132"/>
      <c r="H108" s="132"/>
      <c r="I108" s="72"/>
      <c r="J108" s="73"/>
      <c r="K108" s="73"/>
      <c r="L108" s="73">
        <f>SUM(BS48:BS93)</f>
        <v>0</v>
      </c>
    </row>
    <row r="109" spans="1:12" ht="13.5" customHeight="1" hidden="1">
      <c r="A109" s="70"/>
      <c r="B109" s="71"/>
      <c r="C109" s="132" t="s">
        <v>368</v>
      </c>
      <c r="D109" s="132"/>
      <c r="E109" s="132"/>
      <c r="F109" s="132"/>
      <c r="G109" s="132"/>
      <c r="H109" s="132"/>
      <c r="I109" s="72"/>
      <c r="J109" s="73"/>
      <c r="K109" s="73"/>
      <c r="L109" s="73">
        <f>SUM(BT48:BT93)</f>
        <v>0</v>
      </c>
    </row>
    <row r="111" spans="1:12" ht="16.5">
      <c r="A111" s="143" t="s">
        <v>369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</row>
    <row r="112" spans="1:56" ht="42.75">
      <c r="A112" s="74">
        <v>4</v>
      </c>
      <c r="B112" s="74" t="s">
        <v>370</v>
      </c>
      <c r="C112" s="74" t="str">
        <f>Source!G77</f>
        <v>Погрузочные работы при автомобильных перевозках мусора строительного с погрузкой вручную</v>
      </c>
      <c r="D112" s="56" t="str">
        <f>Source!DW77</f>
        <v>1 Т ГРУЗА</v>
      </c>
      <c r="E112" s="57">
        <f>Source!K77</f>
        <v>2.7</v>
      </c>
      <c r="F112" s="57"/>
      <c r="G112" s="57">
        <f>Source!I77</f>
        <v>2.7</v>
      </c>
      <c r="H112" s="49">
        <f>Source!AK77</f>
        <v>42.98</v>
      </c>
      <c r="I112" s="58"/>
      <c r="J112" s="49">
        <f>ROUND(Source!AB77*Source!I77,2)</f>
        <v>116.05</v>
      </c>
      <c r="K112" s="58">
        <f>Source!AZ77</f>
        <v>13.24</v>
      </c>
      <c r="L112" s="49">
        <f>Source!GM77</f>
        <v>1536.45</v>
      </c>
      <c r="AG112">
        <f>ROUND((Source!AT77/100)*((ROUND(0*Source!I77,2)+ROUND(0*Source!I77,2))),2)</f>
        <v>0</v>
      </c>
      <c r="AH112">
        <f>Source!X77</f>
        <v>0</v>
      </c>
      <c r="AI112">
        <f>ROUND((Source!AU77/100)*((ROUND(0*Source!I77,2)+ROUND(0*Source!I77,2))),2)</f>
        <v>0</v>
      </c>
      <c r="AJ112">
        <f>Source!Y77</f>
        <v>0</v>
      </c>
      <c r="AS112">
        <f>IF(Source!BI77&lt;=1,AH112,0)</f>
        <v>0</v>
      </c>
      <c r="AT112">
        <f>IF(Source!BI77&lt;=1,AJ112,0)</f>
        <v>0</v>
      </c>
      <c r="BC112">
        <f>IF(Source!BI77=2,AH112,0)</f>
        <v>0</v>
      </c>
      <c r="BD112">
        <f>IF(Source!BI77=2,AJ112,0)</f>
        <v>0</v>
      </c>
    </row>
    <row r="113" spans="1:12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</row>
    <row r="114" spans="3:61" ht="15">
      <c r="C114" s="142" t="s">
        <v>342</v>
      </c>
      <c r="D114" s="142"/>
      <c r="E114" s="142"/>
      <c r="F114" s="142"/>
      <c r="G114" s="142"/>
      <c r="H114" s="142"/>
      <c r="I114" s="142">
        <f>J112</f>
        <v>116.05</v>
      </c>
      <c r="J114" s="142"/>
      <c r="K114" s="142">
        <f>L112</f>
        <v>1536.45</v>
      </c>
      <c r="L114" s="142"/>
      <c r="O114" s="48">
        <f>I114</f>
        <v>116.05</v>
      </c>
      <c r="P114" s="48">
        <f>K114</f>
        <v>1536.45</v>
      </c>
      <c r="R114">
        <f>0</f>
        <v>0</v>
      </c>
      <c r="V114">
        <f>0</f>
        <v>0</v>
      </c>
      <c r="W114">
        <f>0</f>
        <v>0</v>
      </c>
      <c r="Y114">
        <f>0</f>
        <v>0</v>
      </c>
      <c r="AA114">
        <f>0</f>
        <v>0</v>
      </c>
      <c r="AC114">
        <f>0</f>
        <v>0</v>
      </c>
      <c r="AE114">
        <f>0</f>
        <v>0</v>
      </c>
      <c r="AF114">
        <f>0</f>
        <v>0</v>
      </c>
      <c r="AO114">
        <f>IF(Source!BI77&lt;=1,0,0)</f>
        <v>0</v>
      </c>
      <c r="AR114">
        <f>IF(Source!BI77&lt;=1,J112,0)</f>
        <v>116.05</v>
      </c>
      <c r="AY114">
        <f>IF(Source!BI77=2,0,0)</f>
        <v>0</v>
      </c>
      <c r="BB114">
        <f>IF(Source!BI77=2,J112,0)</f>
        <v>0</v>
      </c>
      <c r="BI114">
        <f>IF(Source!BI77=3,J112,0)</f>
        <v>0</v>
      </c>
    </row>
    <row r="115" spans="1:56" ht="85.5">
      <c r="A115" s="74">
        <v>5</v>
      </c>
      <c r="B115" s="74" t="s">
        <v>371</v>
      </c>
      <c r="C115" s="74" t="str">
        <f>Source!G79</f>
        <v>Перевозка грузов I класса автомобилями бортовыми грузоподъемностью до 5 т на расстояние: до 50 км (Приказ от 06.11.2020 № МКЭ-ОД/20-68 прил. 2 по ЮЗАО - 50 км) Применительно</v>
      </c>
      <c r="D115" s="56" t="str">
        <f>Source!DW79</f>
        <v>1 Т ГРУЗА</v>
      </c>
      <c r="E115" s="57">
        <f>Source!K79</f>
        <v>2.7</v>
      </c>
      <c r="F115" s="57"/>
      <c r="G115" s="57">
        <f>Source!I79</f>
        <v>2.7</v>
      </c>
      <c r="H115" s="49">
        <f>Source!AK79</f>
        <v>46.37</v>
      </c>
      <c r="I115" s="58"/>
      <c r="J115" s="49">
        <f>ROUND(Source!AB79*Source!I79,2)</f>
        <v>125.2</v>
      </c>
      <c r="K115" s="58">
        <f>Source!AZ79</f>
        <v>13.24</v>
      </c>
      <c r="L115" s="49">
        <f>Source!GM79</f>
        <v>1657.63</v>
      </c>
      <c r="AG115">
        <f>ROUND((Source!AT79/100)*((ROUND(0*Source!I79,2)+ROUND(0*Source!I79,2))),2)</f>
        <v>0</v>
      </c>
      <c r="AH115">
        <f>Source!X79</f>
        <v>0</v>
      </c>
      <c r="AI115">
        <f>ROUND((Source!AU79/100)*((ROUND(0*Source!I79,2)+ROUND(0*Source!I79,2))),2)</f>
        <v>0</v>
      </c>
      <c r="AJ115">
        <f>Source!Y79</f>
        <v>0</v>
      </c>
      <c r="AS115">
        <f>IF(Source!BI79&lt;=1,AH115,0)</f>
        <v>0</v>
      </c>
      <c r="AT115">
        <f>IF(Source!BI79&lt;=1,AJ115,0)</f>
        <v>0</v>
      </c>
      <c r="BC115">
        <f>IF(Source!BI79=2,AH115,0)</f>
        <v>0</v>
      </c>
      <c r="BD115">
        <f>IF(Source!BI79=2,AJ115,0)</f>
        <v>0</v>
      </c>
    </row>
    <row r="116" spans="1:12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</row>
    <row r="117" spans="3:61" ht="15">
      <c r="C117" s="142" t="s">
        <v>342</v>
      </c>
      <c r="D117" s="142"/>
      <c r="E117" s="142"/>
      <c r="F117" s="142"/>
      <c r="G117" s="142"/>
      <c r="H117" s="142"/>
      <c r="I117" s="142">
        <f>J115</f>
        <v>125.2</v>
      </c>
      <c r="J117" s="142"/>
      <c r="K117" s="142">
        <f>L115</f>
        <v>1657.63</v>
      </c>
      <c r="L117" s="142"/>
      <c r="O117" s="48">
        <f>I117</f>
        <v>125.2</v>
      </c>
      <c r="P117" s="48">
        <f>K117</f>
        <v>1657.63</v>
      </c>
      <c r="R117">
        <f>0</f>
        <v>0</v>
      </c>
      <c r="V117">
        <f>0</f>
        <v>0</v>
      </c>
      <c r="W117">
        <f>0</f>
        <v>0</v>
      </c>
      <c r="Y117">
        <f>0</f>
        <v>0</v>
      </c>
      <c r="AA117">
        <f>0</f>
        <v>0</v>
      </c>
      <c r="AC117">
        <f>0</f>
        <v>0</v>
      </c>
      <c r="AE117">
        <f>0</f>
        <v>0</v>
      </c>
      <c r="AF117">
        <f>0</f>
        <v>0</v>
      </c>
      <c r="AO117">
        <f>IF(Source!BI79&lt;=1,0,0)</f>
        <v>0</v>
      </c>
      <c r="AR117">
        <f>IF(Source!BI79&lt;=1,J115,0)</f>
        <v>125.2</v>
      </c>
      <c r="AY117">
        <f>IF(Source!BI79=2,0,0)</f>
        <v>0</v>
      </c>
      <c r="BB117">
        <f>IF(Source!BI79=2,J115,0)</f>
        <v>0</v>
      </c>
      <c r="BI117">
        <f>IF(Source!BI79=3,J115,0)</f>
        <v>0</v>
      </c>
    </row>
    <row r="119" spans="1:95" ht="15">
      <c r="A119" s="66"/>
      <c r="B119" s="67"/>
      <c r="C119" s="145" t="s">
        <v>354</v>
      </c>
      <c r="D119" s="145"/>
      <c r="E119" s="145"/>
      <c r="F119" s="145"/>
      <c r="G119" s="145"/>
      <c r="H119" s="145"/>
      <c r="I119" s="68"/>
      <c r="J119" s="69">
        <f>J121+J122+J123+J124</f>
        <v>241.25</v>
      </c>
      <c r="K119" s="69"/>
      <c r="L119" s="69">
        <f>L121+L122+L123+L124</f>
        <v>3194.08</v>
      </c>
      <c r="CQ119" s="78" t="s">
        <v>354</v>
      </c>
    </row>
    <row r="120" spans="1:12" ht="14.25">
      <c r="A120" s="70"/>
      <c r="B120" s="71"/>
      <c r="C120" s="144" t="s">
        <v>355</v>
      </c>
      <c r="D120" s="132"/>
      <c r="E120" s="132"/>
      <c r="F120" s="132"/>
      <c r="G120" s="132"/>
      <c r="H120" s="132"/>
      <c r="I120" s="72"/>
      <c r="J120" s="73"/>
      <c r="K120" s="73"/>
      <c r="L120" s="73"/>
    </row>
    <row r="121" spans="1:12" ht="13.5" customHeight="1" hidden="1">
      <c r="A121" s="70"/>
      <c r="B121" s="71"/>
      <c r="C121" s="132" t="s">
        <v>356</v>
      </c>
      <c r="D121" s="132"/>
      <c r="E121" s="132"/>
      <c r="F121" s="132"/>
      <c r="G121" s="132"/>
      <c r="H121" s="132"/>
      <c r="I121" s="72"/>
      <c r="J121" s="73">
        <f>SUM(Q111:Q117)</f>
        <v>0</v>
      </c>
      <c r="K121" s="73"/>
      <c r="L121" s="73">
        <f>SUM(U111:U117)</f>
        <v>0</v>
      </c>
    </row>
    <row r="122" spans="1:12" ht="13.5" customHeight="1" hidden="1">
      <c r="A122" s="70"/>
      <c r="B122" s="71"/>
      <c r="C122" s="132" t="s">
        <v>357</v>
      </c>
      <c r="D122" s="132"/>
      <c r="E122" s="132"/>
      <c r="F122" s="132"/>
      <c r="G122" s="132"/>
      <c r="H122" s="132"/>
      <c r="I122" s="72"/>
      <c r="J122" s="73">
        <f>SUM(AB111:AB117)</f>
        <v>0</v>
      </c>
      <c r="K122" s="73"/>
      <c r="L122" s="73">
        <f>SUM(AD111:AD117)</f>
        <v>0</v>
      </c>
    </row>
    <row r="123" spans="1:12" ht="13.5" customHeight="1" hidden="1">
      <c r="A123" s="70"/>
      <c r="B123" s="71"/>
      <c r="C123" s="132" t="s">
        <v>358</v>
      </c>
      <c r="D123" s="132"/>
      <c r="E123" s="132"/>
      <c r="F123" s="132"/>
      <c r="G123" s="132"/>
      <c r="H123" s="132"/>
      <c r="I123" s="72"/>
      <c r="J123" s="73">
        <f>SUM(AF111:AF117)-J128</f>
        <v>0</v>
      </c>
      <c r="K123" s="73"/>
      <c r="L123" s="73">
        <f>Source!P84-L128</f>
        <v>0</v>
      </c>
    </row>
    <row r="124" spans="1:12" ht="14.25">
      <c r="A124" s="70"/>
      <c r="B124" s="71"/>
      <c r="C124" s="132" t="s">
        <v>359</v>
      </c>
      <c r="D124" s="132"/>
      <c r="E124" s="132"/>
      <c r="F124" s="132"/>
      <c r="G124" s="132"/>
      <c r="H124" s="132"/>
      <c r="I124" s="72"/>
      <c r="J124" s="73">
        <f>SUM(AR111:AR117)+SUM(BB111:BB117)+SUM(BI111:BI117)+SUM(BP111:BP117)</f>
        <v>241.25</v>
      </c>
      <c r="K124" s="73"/>
      <c r="L124" s="73">
        <f>Source!P106</f>
        <v>3194.08</v>
      </c>
    </row>
    <row r="125" spans="1:12" ht="13.5" customHeight="1" hidden="1">
      <c r="A125" s="70"/>
      <c r="B125" s="71"/>
      <c r="C125" s="132" t="s">
        <v>360</v>
      </c>
      <c r="D125" s="132"/>
      <c r="E125" s="132"/>
      <c r="F125" s="132"/>
      <c r="G125" s="132"/>
      <c r="H125" s="132"/>
      <c r="I125" s="72"/>
      <c r="J125" s="73">
        <f>SUM(Q111:Q117)+SUM(X111:X117)</f>
        <v>0</v>
      </c>
      <c r="K125" s="73"/>
      <c r="L125" s="73">
        <f>SUM(U111:U117)+SUM(Z111:Z117)</f>
        <v>0</v>
      </c>
    </row>
    <row r="126" spans="1:12" ht="13.5" customHeight="1" hidden="1">
      <c r="A126" s="70"/>
      <c r="B126" s="71"/>
      <c r="C126" s="132" t="s">
        <v>361</v>
      </c>
      <c r="D126" s="132"/>
      <c r="E126" s="132"/>
      <c r="F126" s="132"/>
      <c r="G126" s="132"/>
      <c r="H126" s="132"/>
      <c r="I126" s="72"/>
      <c r="J126" s="73">
        <f>SUM(AG111:AG117)</f>
        <v>0</v>
      </c>
      <c r="K126" s="73"/>
      <c r="L126" s="73">
        <f>Source!P107</f>
        <v>0</v>
      </c>
    </row>
    <row r="127" spans="1:12" ht="13.5" customHeight="1" hidden="1">
      <c r="A127" s="70"/>
      <c r="B127" s="71"/>
      <c r="C127" s="132" t="s">
        <v>362</v>
      </c>
      <c r="D127" s="132"/>
      <c r="E127" s="132"/>
      <c r="F127" s="132"/>
      <c r="G127" s="132"/>
      <c r="H127" s="132"/>
      <c r="I127" s="72"/>
      <c r="J127" s="73">
        <f>SUM(AI111:AI117)</f>
        <v>0</v>
      </c>
      <c r="K127" s="73"/>
      <c r="L127" s="73">
        <f>Source!P108</f>
        <v>0</v>
      </c>
    </row>
    <row r="128" spans="1:12" ht="13.5" customHeight="1" hidden="1">
      <c r="A128" s="70"/>
      <c r="B128" s="71"/>
      <c r="C128" s="132" t="s">
        <v>363</v>
      </c>
      <c r="D128" s="132"/>
      <c r="E128" s="132"/>
      <c r="F128" s="132"/>
      <c r="G128" s="132"/>
      <c r="H128" s="132"/>
      <c r="I128" s="72"/>
      <c r="J128" s="73">
        <f>SUM(BH111:BH117)</f>
        <v>0</v>
      </c>
      <c r="K128" s="73"/>
      <c r="L128" s="73">
        <f>Source!P90</f>
        <v>0</v>
      </c>
    </row>
    <row r="129" spans="1:12" ht="13.5" customHeight="1" hidden="1">
      <c r="A129" s="70"/>
      <c r="B129" s="71"/>
      <c r="C129" s="132" t="s">
        <v>364</v>
      </c>
      <c r="D129" s="132"/>
      <c r="E129" s="132"/>
      <c r="F129" s="132"/>
      <c r="G129" s="132"/>
      <c r="H129" s="132"/>
      <c r="I129" s="72"/>
      <c r="J129" s="73">
        <f>SUM(BM111:BM117)+SUM(BN111:BN117)+SUM(BO111:BO117)+SUM(BP111:BP117)</f>
        <v>0</v>
      </c>
      <c r="K129" s="73"/>
      <c r="L129" s="73">
        <f>Source!P100</f>
        <v>0</v>
      </c>
    </row>
    <row r="130" spans="1:12" ht="15">
      <c r="A130" s="66"/>
      <c r="B130" s="67"/>
      <c r="C130" s="145" t="s">
        <v>365</v>
      </c>
      <c r="D130" s="145"/>
      <c r="E130" s="145"/>
      <c r="F130" s="145"/>
      <c r="G130" s="145"/>
      <c r="H130" s="145"/>
      <c r="I130" s="68"/>
      <c r="J130" s="69">
        <f>J119+J126+J127+J128</f>
        <v>241.25</v>
      </c>
      <c r="K130" s="69"/>
      <c r="L130" s="69">
        <f>Source!P109</f>
        <v>3194.08</v>
      </c>
    </row>
    <row r="131" spans="1:12" ht="13.5" customHeight="1" hidden="1">
      <c r="A131" s="70"/>
      <c r="B131" s="71"/>
      <c r="C131" s="144" t="s">
        <v>366</v>
      </c>
      <c r="D131" s="132"/>
      <c r="E131" s="132"/>
      <c r="F131" s="132"/>
      <c r="G131" s="132"/>
      <c r="H131" s="132"/>
      <c r="I131" s="72"/>
      <c r="J131" s="73"/>
      <c r="K131" s="73"/>
      <c r="L131" s="73"/>
    </row>
    <row r="132" spans="1:12" ht="13.5" customHeight="1" hidden="1">
      <c r="A132" s="70"/>
      <c r="B132" s="71"/>
      <c r="C132" s="132" t="s">
        <v>367</v>
      </c>
      <c r="D132" s="132"/>
      <c r="E132" s="132"/>
      <c r="F132" s="132"/>
      <c r="G132" s="132"/>
      <c r="H132" s="132"/>
      <c r="I132" s="72"/>
      <c r="J132" s="73"/>
      <c r="K132" s="73"/>
      <c r="L132" s="73">
        <f>SUM(BS111:BS117)</f>
        <v>0</v>
      </c>
    </row>
    <row r="133" spans="1:12" ht="13.5" customHeight="1" hidden="1">
      <c r="A133" s="70"/>
      <c r="B133" s="71"/>
      <c r="C133" s="132" t="s">
        <v>368</v>
      </c>
      <c r="D133" s="132"/>
      <c r="E133" s="132"/>
      <c r="F133" s="132"/>
      <c r="G133" s="132"/>
      <c r="H133" s="132"/>
      <c r="I133" s="72"/>
      <c r="J133" s="73"/>
      <c r="K133" s="73"/>
      <c r="L133" s="73">
        <f>SUM(BT111:BT117)</f>
        <v>0</v>
      </c>
    </row>
    <row r="134" spans="3:12" ht="14.25">
      <c r="C134" s="130" t="str">
        <f>Source!H110</f>
        <v>итого по разделу</v>
      </c>
      <c r="D134" s="130"/>
      <c r="E134" s="130"/>
      <c r="F134" s="130"/>
      <c r="G134" s="130"/>
      <c r="H134" s="130"/>
      <c r="I134" s="130"/>
      <c r="J134" s="130"/>
      <c r="K134" s="130"/>
      <c r="L134" s="49">
        <f>IF(Source!AB110=0,"",Source!AB110)</f>
        <v>3194.08</v>
      </c>
    </row>
    <row r="136" spans="1:12" ht="15">
      <c r="A136" s="66"/>
      <c r="B136" s="67"/>
      <c r="C136" s="145" t="s">
        <v>372</v>
      </c>
      <c r="D136" s="145"/>
      <c r="E136" s="145"/>
      <c r="F136" s="145"/>
      <c r="G136" s="145"/>
      <c r="H136" s="145"/>
      <c r="I136" s="68"/>
      <c r="J136" s="69"/>
      <c r="K136" s="69"/>
      <c r="L136" s="69"/>
    </row>
    <row r="137" spans="1:12" ht="15">
      <c r="A137" s="66"/>
      <c r="B137" s="67"/>
      <c r="C137" s="145" t="s">
        <v>373</v>
      </c>
      <c r="D137" s="145"/>
      <c r="E137" s="145"/>
      <c r="F137" s="145"/>
      <c r="G137" s="145"/>
      <c r="H137" s="145"/>
      <c r="I137" s="68"/>
      <c r="J137" s="69">
        <f>J139+J140+J141+J142</f>
        <v>43580.729999999996</v>
      </c>
      <c r="K137" s="69"/>
      <c r="L137" s="69">
        <f>L139+L140+L141+L142</f>
        <v>422026.84</v>
      </c>
    </row>
    <row r="138" spans="1:12" ht="14.25">
      <c r="A138" s="70"/>
      <c r="B138" s="71"/>
      <c r="C138" s="144" t="s">
        <v>355</v>
      </c>
      <c r="D138" s="132"/>
      <c r="E138" s="132"/>
      <c r="F138" s="132"/>
      <c r="G138" s="132"/>
      <c r="H138" s="132"/>
      <c r="I138" s="72"/>
      <c r="J138" s="73"/>
      <c r="K138" s="73"/>
      <c r="L138" s="73"/>
    </row>
    <row r="139" spans="1:12" ht="14.25">
      <c r="A139" s="70"/>
      <c r="B139" s="71"/>
      <c r="C139" s="132" t="s">
        <v>356</v>
      </c>
      <c r="D139" s="132"/>
      <c r="E139" s="132"/>
      <c r="F139" s="132"/>
      <c r="G139" s="132"/>
      <c r="H139" s="132"/>
      <c r="I139" s="72"/>
      <c r="J139" s="73">
        <f>SUM(Q47:Q134)</f>
        <v>4134.84</v>
      </c>
      <c r="K139" s="73"/>
      <c r="L139" s="73">
        <f>SUM(U47:U134)</f>
        <v>154395.18000000002</v>
      </c>
    </row>
    <row r="140" spans="1:12" ht="14.25">
      <c r="A140" s="70"/>
      <c r="B140" s="71"/>
      <c r="C140" s="132" t="s">
        <v>357</v>
      </c>
      <c r="D140" s="132"/>
      <c r="E140" s="132"/>
      <c r="F140" s="132"/>
      <c r="G140" s="132"/>
      <c r="H140" s="132"/>
      <c r="I140" s="72"/>
      <c r="J140" s="73">
        <f>SUM(AB47:AB134)</f>
        <v>150.61</v>
      </c>
      <c r="K140" s="73"/>
      <c r="L140" s="73">
        <f>SUM(AD47:AD134)</f>
        <v>1994.53</v>
      </c>
    </row>
    <row r="141" spans="1:12" ht="14.25">
      <c r="A141" s="70"/>
      <c r="B141" s="71"/>
      <c r="C141" s="132" t="s">
        <v>358</v>
      </c>
      <c r="D141" s="132"/>
      <c r="E141" s="132"/>
      <c r="F141" s="132"/>
      <c r="G141" s="132"/>
      <c r="H141" s="132"/>
      <c r="I141" s="72"/>
      <c r="J141" s="73">
        <f>SUM(AF47:AF134)-J146</f>
        <v>39054.03</v>
      </c>
      <c r="K141" s="73"/>
      <c r="L141" s="73">
        <f>Source!P115-L146</f>
        <v>262443.05</v>
      </c>
    </row>
    <row r="142" spans="1:12" ht="14.25">
      <c r="A142" s="70"/>
      <c r="B142" s="71"/>
      <c r="C142" s="132" t="s">
        <v>359</v>
      </c>
      <c r="D142" s="132"/>
      <c r="E142" s="132"/>
      <c r="F142" s="132"/>
      <c r="G142" s="132"/>
      <c r="H142" s="132"/>
      <c r="I142" s="72"/>
      <c r="J142" s="73">
        <f>SUM(AR47:AR134)+SUM(BB47:BB134)+SUM(BI47:BI134)+SUM(BP47:BP134)</f>
        <v>241.25</v>
      </c>
      <c r="K142" s="73"/>
      <c r="L142" s="73">
        <f>Source!P137</f>
        <v>3194.08</v>
      </c>
    </row>
    <row r="143" spans="1:12" ht="14.25">
      <c r="A143" s="70"/>
      <c r="B143" s="71"/>
      <c r="C143" s="132" t="s">
        <v>374</v>
      </c>
      <c r="D143" s="132"/>
      <c r="E143" s="132"/>
      <c r="F143" s="132"/>
      <c r="G143" s="132"/>
      <c r="H143" s="132"/>
      <c r="I143" s="72"/>
      <c r="J143" s="73">
        <f>SUM(Q47:Q134)+SUM(X47:X134)</f>
        <v>4167.02</v>
      </c>
      <c r="K143" s="73"/>
      <c r="L143" s="73">
        <f>SUM(U47:U134)+SUM(Z47:Z134)</f>
        <v>155596.98</v>
      </c>
    </row>
    <row r="144" spans="1:12" ht="14.25">
      <c r="A144" s="70"/>
      <c r="B144" s="71"/>
      <c r="C144" s="132" t="s">
        <v>375</v>
      </c>
      <c r="D144" s="132"/>
      <c r="E144" s="132"/>
      <c r="F144" s="132"/>
      <c r="G144" s="132"/>
      <c r="H144" s="132"/>
      <c r="I144" s="72"/>
      <c r="J144" s="73">
        <f>SUM(AG47:AG134)</f>
        <v>3847.3599999999997</v>
      </c>
      <c r="K144" s="73"/>
      <c r="L144" s="73">
        <f>Source!P138</f>
        <v>143660.9</v>
      </c>
    </row>
    <row r="145" spans="1:12" ht="14.25">
      <c r="A145" s="70"/>
      <c r="B145" s="71"/>
      <c r="C145" s="132" t="s">
        <v>376</v>
      </c>
      <c r="D145" s="132"/>
      <c r="E145" s="132"/>
      <c r="F145" s="132"/>
      <c r="G145" s="132"/>
      <c r="H145" s="132"/>
      <c r="I145" s="72"/>
      <c r="J145" s="73">
        <f>SUM(AI47:AI134)</f>
        <v>2028.13</v>
      </c>
      <c r="K145" s="73"/>
      <c r="L145" s="73">
        <f>Source!P139</f>
        <v>75730.53</v>
      </c>
    </row>
    <row r="146" spans="1:12" ht="13.5" customHeight="1" hidden="1">
      <c r="A146" s="70"/>
      <c r="B146" s="71"/>
      <c r="C146" s="132" t="s">
        <v>377</v>
      </c>
      <c r="D146" s="132"/>
      <c r="E146" s="132"/>
      <c r="F146" s="132"/>
      <c r="G146" s="132"/>
      <c r="H146" s="132"/>
      <c r="I146" s="72"/>
      <c r="J146" s="73">
        <f>SUM(BH47:BH134)</f>
        <v>0</v>
      </c>
      <c r="K146" s="73"/>
      <c r="L146" s="73">
        <f>Source!P121</f>
        <v>0</v>
      </c>
    </row>
    <row r="147" spans="1:12" ht="13.5" customHeight="1" hidden="1">
      <c r="A147" s="70"/>
      <c r="B147" s="71"/>
      <c r="C147" s="132" t="s">
        <v>378</v>
      </c>
      <c r="D147" s="132"/>
      <c r="E147" s="132"/>
      <c r="F147" s="132"/>
      <c r="G147" s="132"/>
      <c r="H147" s="132"/>
      <c r="I147" s="72"/>
      <c r="J147" s="73">
        <f>SUM(BM47:BM134)+SUM(BN47:BN134)+SUM(BO47:BO134)+SUM(BP47:BP134)</f>
        <v>0</v>
      </c>
      <c r="K147" s="73"/>
      <c r="L147" s="73">
        <f>Source!P131</f>
        <v>0</v>
      </c>
    </row>
    <row r="148" spans="1:12" s="11" customFormat="1" ht="14.25">
      <c r="A148" s="70"/>
      <c r="B148" s="71"/>
      <c r="C148" s="132" t="s">
        <v>372</v>
      </c>
      <c r="D148" s="132"/>
      <c r="E148" s="132"/>
      <c r="F148" s="132"/>
      <c r="G148" s="132"/>
      <c r="H148" s="132"/>
      <c r="I148" s="72"/>
      <c r="J148" s="73">
        <f>J137+J144+J145+J146</f>
        <v>49456.219999999994</v>
      </c>
      <c r="K148" s="73"/>
      <c r="L148" s="73">
        <f>Source!P140</f>
        <v>641418.27</v>
      </c>
    </row>
    <row r="149" spans="1:12" ht="13.5" customHeight="1" hidden="1">
      <c r="A149" s="70"/>
      <c r="B149" s="71"/>
      <c r="C149" s="144" t="s">
        <v>355</v>
      </c>
      <c r="D149" s="132"/>
      <c r="E149" s="132"/>
      <c r="F149" s="132"/>
      <c r="G149" s="132"/>
      <c r="H149" s="132"/>
      <c r="I149" s="72"/>
      <c r="J149" s="73"/>
      <c r="K149" s="73"/>
      <c r="L149" s="73"/>
    </row>
    <row r="150" spans="1:12" ht="13.5" customHeight="1" hidden="1">
      <c r="A150" s="70"/>
      <c r="B150" s="71"/>
      <c r="C150" s="132" t="s">
        <v>367</v>
      </c>
      <c r="D150" s="132"/>
      <c r="E150" s="132"/>
      <c r="F150" s="132"/>
      <c r="G150" s="132"/>
      <c r="H150" s="132"/>
      <c r="I150" s="72"/>
      <c r="J150" s="73"/>
      <c r="K150" s="73"/>
      <c r="L150" s="73">
        <f>SUM(BS47:BS134)</f>
        <v>0</v>
      </c>
    </row>
    <row r="151" spans="1:12" ht="13.5" customHeight="1" hidden="1">
      <c r="A151" s="70"/>
      <c r="B151" s="71"/>
      <c r="C151" s="132" t="s">
        <v>368</v>
      </c>
      <c r="D151" s="132"/>
      <c r="E151" s="132"/>
      <c r="F151" s="132"/>
      <c r="G151" s="132"/>
      <c r="H151" s="132"/>
      <c r="I151" s="72"/>
      <c r="J151" s="73"/>
      <c r="K151" s="73"/>
      <c r="L151" s="73">
        <f>SUM(BT47:BT134)</f>
        <v>0</v>
      </c>
    </row>
    <row r="152" spans="3:12" ht="14.25">
      <c r="C152" s="130" t="str">
        <f>Source!H142</f>
        <v>НДС20%</v>
      </c>
      <c r="D152" s="130"/>
      <c r="E152" s="130"/>
      <c r="F152" s="130"/>
      <c r="G152" s="130"/>
      <c r="H152" s="130"/>
      <c r="I152" s="130"/>
      <c r="J152" s="130"/>
      <c r="K152" s="130"/>
      <c r="L152" s="49">
        <f>IF(Source!AB142=0,"",Source!AB142)</f>
        <v>128283.65</v>
      </c>
    </row>
    <row r="153" spans="3:12" s="30" customFormat="1" ht="15">
      <c r="C153" s="131" t="str">
        <f>Source!H143</f>
        <v>ВСЕГО ПО СМЕТЕ</v>
      </c>
      <c r="D153" s="131"/>
      <c r="E153" s="131"/>
      <c r="F153" s="131"/>
      <c r="G153" s="131"/>
      <c r="H153" s="131"/>
      <c r="I153" s="131"/>
      <c r="J153" s="131"/>
      <c r="K153" s="131"/>
      <c r="L153" s="65">
        <f>IF(Source!AB143=0,"",Source!AB143)</f>
        <v>769701.92</v>
      </c>
    </row>
    <row r="156" spans="1:11" ht="14.25">
      <c r="A156" s="125" t="s">
        <v>379</v>
      </c>
      <c r="B156" s="125"/>
      <c r="C156" s="47" t="str">
        <f>IF(Source!AC12&lt;&gt;"",Source!AC12," ")</f>
        <v>Вед. инженер РЕСО</v>
      </c>
      <c r="D156" s="47"/>
      <c r="E156" s="47"/>
      <c r="F156" s="47"/>
      <c r="G156" s="47"/>
      <c r="H156" s="117" t="str">
        <f>IF(Source!AB12&lt;&gt;"",Source!AB12," ")</f>
        <v>Степанова А.М.</v>
      </c>
      <c r="I156" s="117"/>
      <c r="J156" s="117"/>
      <c r="K156" s="117"/>
    </row>
    <row r="157" spans="1:11" ht="14.25">
      <c r="A157" s="14"/>
      <c r="B157" s="14"/>
      <c r="C157" s="126" t="s">
        <v>380</v>
      </c>
      <c r="D157" s="126"/>
      <c r="E157" s="126"/>
      <c r="F157" s="126"/>
      <c r="G157" s="126"/>
      <c r="H157" s="14"/>
      <c r="I157" s="14"/>
      <c r="J157" s="14"/>
      <c r="K157" s="14"/>
    </row>
    <row r="158" spans="1:11" ht="14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4.25">
      <c r="A159" s="125" t="s">
        <v>381</v>
      </c>
      <c r="B159" s="125"/>
      <c r="C159" s="47" t="str">
        <f>IF(Source!AE12&lt;&gt;"",Source!AE12," ")</f>
        <v>Заведующий РЕСО</v>
      </c>
      <c r="D159" s="47"/>
      <c r="E159" s="47"/>
      <c r="F159" s="47"/>
      <c r="G159" s="47"/>
      <c r="H159" s="117" t="str">
        <f>IF(Source!AD12&lt;&gt;"",Source!AD12," ")</f>
        <v>Покшин В.И.</v>
      </c>
      <c r="I159" s="117"/>
      <c r="J159" s="117"/>
      <c r="K159" s="117"/>
    </row>
    <row r="160" spans="1:11" ht="14.25">
      <c r="A160" s="14"/>
      <c r="B160" s="14"/>
      <c r="C160" s="126" t="s">
        <v>380</v>
      </c>
      <c r="D160" s="126"/>
      <c r="E160" s="126"/>
      <c r="F160" s="126"/>
      <c r="G160" s="126"/>
      <c r="H160" s="14"/>
      <c r="I160" s="14"/>
      <c r="J160" s="14"/>
      <c r="K160" s="14"/>
    </row>
  </sheetData>
  <sheetProtection/>
  <mergeCells count="104">
    <mergeCell ref="C146:H146"/>
    <mergeCell ref="C145:H145"/>
    <mergeCell ref="C144:H144"/>
    <mergeCell ref="C130:H130"/>
    <mergeCell ref="C129:H129"/>
    <mergeCell ref="C128:H128"/>
    <mergeCell ref="C127:H127"/>
    <mergeCell ref="C126:H126"/>
    <mergeCell ref="C151:H151"/>
    <mergeCell ref="C150:H150"/>
    <mergeCell ref="C149:H149"/>
    <mergeCell ref="C148:H148"/>
    <mergeCell ref="C147:H147"/>
    <mergeCell ref="C138:H138"/>
    <mergeCell ref="C137:H137"/>
    <mergeCell ref="C136:H136"/>
    <mergeCell ref="C133:H133"/>
    <mergeCell ref="C132:H132"/>
    <mergeCell ref="C131:H131"/>
    <mergeCell ref="C106:H106"/>
    <mergeCell ref="C143:H143"/>
    <mergeCell ref="C142:H142"/>
    <mergeCell ref="C141:H141"/>
    <mergeCell ref="C140:H140"/>
    <mergeCell ref="C139:H139"/>
    <mergeCell ref="C119:H119"/>
    <mergeCell ref="K117:L117"/>
    <mergeCell ref="I117:J117"/>
    <mergeCell ref="C117:H117"/>
    <mergeCell ref="K114:L114"/>
    <mergeCell ref="I114:J114"/>
    <mergeCell ref="C114:H114"/>
    <mergeCell ref="A48:L48"/>
    <mergeCell ref="C125:H125"/>
    <mergeCell ref="C124:H124"/>
    <mergeCell ref="C123:H123"/>
    <mergeCell ref="C122:H122"/>
    <mergeCell ref="C121:H121"/>
    <mergeCell ref="C120:H120"/>
    <mergeCell ref="C95:H95"/>
    <mergeCell ref="K93:L93"/>
    <mergeCell ref="I93:J93"/>
    <mergeCell ref="C93:H93"/>
    <mergeCell ref="K79:L79"/>
    <mergeCell ref="I79:J79"/>
    <mergeCell ref="C79:H79"/>
    <mergeCell ref="C101:H101"/>
    <mergeCell ref="C100:H100"/>
    <mergeCell ref="C99:H99"/>
    <mergeCell ref="C98:H98"/>
    <mergeCell ref="C97:H97"/>
    <mergeCell ref="C96:H96"/>
    <mergeCell ref="A111:L111"/>
    <mergeCell ref="C109:H109"/>
    <mergeCell ref="C108:H108"/>
    <mergeCell ref="C107:H107"/>
    <mergeCell ref="A156:B156"/>
    <mergeCell ref="H156:K156"/>
    <mergeCell ref="C157:G157"/>
    <mergeCell ref="A159:B159"/>
    <mergeCell ref="H159:K159"/>
    <mergeCell ref="C160:G160"/>
    <mergeCell ref="K42:K45"/>
    <mergeCell ref="L42:L45"/>
    <mergeCell ref="C134:K134"/>
    <mergeCell ref="C152:K152"/>
    <mergeCell ref="C153:K153"/>
    <mergeCell ref="C105:H105"/>
    <mergeCell ref="C104:H104"/>
    <mergeCell ref="C103:H103"/>
    <mergeCell ref="C102:H102"/>
    <mergeCell ref="A42:A45"/>
    <mergeCell ref="B42:B45"/>
    <mergeCell ref="C42:C45"/>
    <mergeCell ref="D42:D45"/>
    <mergeCell ref="E42:G44"/>
    <mergeCell ref="H42:J44"/>
    <mergeCell ref="K62:L62"/>
    <mergeCell ref="I62:J62"/>
    <mergeCell ref="C62:H62"/>
    <mergeCell ref="C30:G30"/>
    <mergeCell ref="D34:E34"/>
    <mergeCell ref="D37:E37"/>
    <mergeCell ref="D38:E38"/>
    <mergeCell ref="D39:E39"/>
    <mergeCell ref="D40:E40"/>
    <mergeCell ref="B18:K18"/>
    <mergeCell ref="B19:K19"/>
    <mergeCell ref="B21:K21"/>
    <mergeCell ref="B23:K23"/>
    <mergeCell ref="B24:K24"/>
    <mergeCell ref="C29:G29"/>
    <mergeCell ref="B7:E7"/>
    <mergeCell ref="H7:L7"/>
    <mergeCell ref="A10:L10"/>
    <mergeCell ref="A12:K12"/>
    <mergeCell ref="B15:K15"/>
    <mergeCell ref="B16:K16"/>
    <mergeCell ref="B3:E3"/>
    <mergeCell ref="H3:L3"/>
    <mergeCell ref="B4:E4"/>
    <mergeCell ref="H4:L4"/>
    <mergeCell ref="B6:E6"/>
    <mergeCell ref="H6:L6"/>
  </mergeCells>
  <printOptions/>
  <pageMargins left="0.4" right="0.2" top="0.2" bottom="0.4" header="0.2" footer="0.2"/>
  <pageSetup fitToHeight="0" fitToWidth="1" horizontalDpi="600" verticalDpi="600" orientation="portrait" paperSize="9" scale="5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75.7109375" style="0" customWidth="1"/>
    <col min="4" max="8" width="15.7109375" style="0" customWidth="1"/>
    <col min="30" max="32" width="0" style="0" hidden="1" customWidth="1"/>
  </cols>
  <sheetData>
    <row r="1" ht="12.75">
      <c r="A1" s="12" t="str">
        <f>Source!B1</f>
        <v>Smeta.RU  (495) 974-1589</v>
      </c>
    </row>
    <row r="2" spans="4:5" ht="14.25">
      <c r="D2" s="14"/>
      <c r="E2" s="14"/>
    </row>
    <row r="3" spans="4:5" ht="15">
      <c r="D3" s="14"/>
      <c r="E3" s="64" t="s">
        <v>287</v>
      </c>
    </row>
    <row r="4" spans="4:5" ht="15">
      <c r="D4" s="64"/>
      <c r="E4" s="64"/>
    </row>
    <row r="5" spans="4:5" ht="15">
      <c r="D5" s="147" t="s">
        <v>382</v>
      </c>
      <c r="E5" s="147"/>
    </row>
    <row r="6" spans="4:5" ht="15">
      <c r="D6" s="79"/>
      <c r="E6" s="79"/>
    </row>
    <row r="7" spans="4:5" ht="15">
      <c r="D7" s="147" t="s">
        <v>382</v>
      </c>
      <c r="E7" s="147"/>
    </row>
    <row r="8" spans="4:5" ht="15">
      <c r="D8" s="79"/>
      <c r="E8" s="79"/>
    </row>
    <row r="9" spans="4:5" ht="15">
      <c r="D9" s="64" t="s">
        <v>383</v>
      </c>
      <c r="E9" s="14"/>
    </row>
    <row r="10" spans="4:5" ht="14.25">
      <c r="D10" s="14"/>
      <c r="E10" s="14"/>
    </row>
    <row r="12" spans="2:5" ht="15.75">
      <c r="B12" s="148" t="str">
        <f>CONCATENATE("Ведомость объемов работ ",IF(Source!AN15&lt;&gt;"",Source!AN15," "))</f>
        <v>Ведомость объемов работ  </v>
      </c>
      <c r="C12" s="148"/>
      <c r="D12" s="148"/>
      <c r="E12" s="148"/>
    </row>
    <row r="13" spans="2:5" ht="15">
      <c r="B13" s="149" t="str">
        <f>CONCATENATE(Source!F12," ",Source!G12)</f>
        <v> Выполнение работ по замене остекления строения 3 ИПУ РАН</v>
      </c>
      <c r="C13" s="149"/>
      <c r="D13" s="149"/>
      <c r="E13" s="149"/>
    </row>
    <row r="14" ht="12.75" hidden="1"/>
    <row r="16" spans="1:8" ht="99.75">
      <c r="A16" s="81" t="s">
        <v>310</v>
      </c>
      <c r="B16" s="81" t="s">
        <v>384</v>
      </c>
      <c r="C16" s="81" t="s">
        <v>312</v>
      </c>
      <c r="D16" s="81" t="s">
        <v>313</v>
      </c>
      <c r="E16" s="81" t="s">
        <v>314</v>
      </c>
      <c r="F16" s="81" t="s">
        <v>385</v>
      </c>
      <c r="G16" s="81" t="s">
        <v>386</v>
      </c>
      <c r="H16" s="81" t="s">
        <v>387</v>
      </c>
    </row>
    <row r="17" spans="1:8" ht="14.25">
      <c r="A17" s="81">
        <v>1</v>
      </c>
      <c r="B17" s="81">
        <v>2</v>
      </c>
      <c r="C17" s="81">
        <v>3</v>
      </c>
      <c r="D17" s="81">
        <v>4</v>
      </c>
      <c r="E17" s="81">
        <v>5</v>
      </c>
      <c r="F17" s="81">
        <v>6</v>
      </c>
      <c r="G17" s="81">
        <v>7</v>
      </c>
      <c r="H17" s="81">
        <v>8</v>
      </c>
    </row>
    <row r="18" spans="1:8" ht="16.5">
      <c r="A18" s="146" t="str">
        <f>CONCATENATE("Локальная смета: ",Source!G20)</f>
        <v>Локальная смета: </v>
      </c>
      <c r="B18" s="146"/>
      <c r="C18" s="146"/>
      <c r="D18" s="146"/>
      <c r="E18" s="146"/>
      <c r="F18" s="146"/>
      <c r="G18" s="146"/>
      <c r="H18" s="146"/>
    </row>
    <row r="19" spans="1:8" ht="16.5">
      <c r="A19" s="146" t="str">
        <f>CONCATENATE("Раздел: ",Source!G24)</f>
        <v>Раздел: Замена стекол</v>
      </c>
      <c r="B19" s="146"/>
      <c r="C19" s="146"/>
      <c r="D19" s="146"/>
      <c r="E19" s="146"/>
      <c r="F19" s="146"/>
      <c r="G19" s="146"/>
      <c r="H19" s="146"/>
    </row>
    <row r="20" spans="1:8" ht="42.75">
      <c r="A20" s="81">
        <v>1</v>
      </c>
      <c r="B20" s="81" t="str">
        <f>Source!E28</f>
        <v>1</v>
      </c>
      <c r="C20" s="84" t="str">
        <f>Source!G28</f>
        <v>Установка и разборка внутренних трубчатых инвентарных лесов: при высоте помещений до 6 м</v>
      </c>
      <c r="D20" s="81" t="s">
        <v>29</v>
      </c>
      <c r="E20" s="85">
        <f>Source!I28</f>
        <v>0.4</v>
      </c>
      <c r="F20" s="81">
        <f>Source!U24</f>
      </c>
      <c r="G20" s="81" t="str">
        <f>"=40/"&amp;"100"</f>
        <v>=40/100</v>
      </c>
      <c r="H20" s="84"/>
    </row>
    <row r="21" spans="1:8" ht="28.5">
      <c r="A21" s="81">
        <v>2</v>
      </c>
      <c r="B21" s="81" t="str">
        <f>Source!E30</f>
        <v>2</v>
      </c>
      <c r="C21" s="84" t="str">
        <f>Source!G30</f>
        <v>Смена стекол толщиной 4-6 мм в металлических переплетах на штапиках: по эластичной прокладке при площади стекол (Применительно)</v>
      </c>
      <c r="D21" s="81" t="s">
        <v>45</v>
      </c>
      <c r="E21" s="85">
        <f>Source!I30</f>
        <v>2.7816</v>
      </c>
      <c r="F21" s="81">
        <f>Source!U24</f>
      </c>
      <c r="G21" s="81" t="str">
        <f>"=278,16/"&amp;"100"</f>
        <v>=278,16/100</v>
      </c>
      <c r="H21" s="84"/>
    </row>
    <row r="22" spans="1:8" ht="14.25">
      <c r="A22" s="81">
        <v>2.1</v>
      </c>
      <c r="B22" s="81" t="str">
        <f>Source!E32</f>
        <v>2,1</v>
      </c>
      <c r="C22" s="84" t="str">
        <f>Source!G32</f>
        <v>Стекло листовое М1, площадь до 1,0 м2, группа 1, толщина 6 мм</v>
      </c>
      <c r="D22" s="81" t="s">
        <v>56</v>
      </c>
      <c r="E22" s="85">
        <f>Source!I32</f>
        <v>57.68</v>
      </c>
      <c r="F22" s="81">
        <f>Source!U24</f>
      </c>
      <c r="G22" s="81"/>
      <c r="H22" s="84"/>
    </row>
    <row r="23" spans="1:8" ht="28.5">
      <c r="A23" s="81">
        <v>2.2</v>
      </c>
      <c r="B23" s="81" t="str">
        <f>Source!E34</f>
        <v>2,2</v>
      </c>
      <c r="C23" s="84" t="str">
        <f>Source!G34</f>
        <v>Стекло листовое площадью до 4,3 м2, 1 группы, толщиной: 7 мм, марки М7</v>
      </c>
      <c r="D23" s="81" t="s">
        <v>56</v>
      </c>
      <c r="E23" s="85">
        <f>Source!I34</f>
        <v>224.72</v>
      </c>
      <c r="F23" s="81">
        <f>Source!U24</f>
      </c>
      <c r="G23" s="81"/>
      <c r="H23" s="84"/>
    </row>
    <row r="24" spans="1:8" ht="14.25">
      <c r="A24" s="81">
        <v>2.3</v>
      </c>
      <c r="B24" s="81" t="str">
        <f>Source!E36</f>
        <v>2,3</v>
      </c>
      <c r="C24" s="84" t="str">
        <f>Source!G36</f>
        <v>Строительный мусор</v>
      </c>
      <c r="D24" s="81" t="s">
        <v>65</v>
      </c>
      <c r="E24" s="85">
        <f>Source!I36</f>
        <v>2.725968</v>
      </c>
      <c r="F24" s="81">
        <f>Source!U24</f>
      </c>
      <c r="G24" s="81"/>
      <c r="H24" s="84"/>
    </row>
    <row r="25" spans="1:8" ht="14.25">
      <c r="A25" s="81">
        <v>3</v>
      </c>
      <c r="B25" s="81" t="str">
        <f>Source!E38</f>
        <v>3</v>
      </c>
      <c r="C25" s="84" t="str">
        <f>Source!G38</f>
        <v>Замена уплотнителей  окон (Применительно)</v>
      </c>
      <c r="D25" s="81" t="s">
        <v>69</v>
      </c>
      <c r="E25" s="85">
        <f>Source!I38</f>
        <v>7.2344</v>
      </c>
      <c r="F25" s="81">
        <f>Source!U24</f>
      </c>
      <c r="G25" s="81" t="str">
        <f>"=723,44/"&amp;"100"</f>
        <v>=723,44/100</v>
      </c>
      <c r="H25" s="84"/>
    </row>
    <row r="26" spans="1:8" ht="16.5">
      <c r="A26" s="146" t="str">
        <f>CONCATENATE("Раздел: ",Source!G72)</f>
        <v>Раздел: Разные работы</v>
      </c>
      <c r="B26" s="146"/>
      <c r="C26" s="146"/>
      <c r="D26" s="146"/>
      <c r="E26" s="146"/>
      <c r="F26" s="146"/>
      <c r="G26" s="146"/>
      <c r="H26" s="146"/>
    </row>
    <row r="27" spans="1:8" ht="28.5">
      <c r="A27" s="81">
        <v>4</v>
      </c>
      <c r="B27" s="81" t="str">
        <f>Source!E76</f>
        <v>4</v>
      </c>
      <c r="C27" s="84" t="str">
        <f>Source!G76</f>
        <v>Погрузочные работы при автомобильных перевозках мусора строительного с погрузкой вручную</v>
      </c>
      <c r="D27" s="81" t="s">
        <v>136</v>
      </c>
      <c r="E27" s="85">
        <f>Source!I76</f>
        <v>2.7</v>
      </c>
      <c r="F27" s="81">
        <f>Source!U72</f>
      </c>
      <c r="G27" s="81">
        <f>Source!I76</f>
        <v>2.7</v>
      </c>
      <c r="H27" s="84"/>
    </row>
    <row r="28" spans="1:8" ht="42.75">
      <c r="A28" s="80">
        <v>5</v>
      </c>
      <c r="B28" s="80" t="str">
        <f>Source!E78</f>
        <v>5</v>
      </c>
      <c r="C28" s="82" t="str">
        <f>Source!G78</f>
        <v>Перевозка грузов I класса автомобилями бортовыми грузоподъемностью до 5 т на расстояние: до 50 км (Приказ от 06.11.2020 № МКЭ-ОД/20-68 прил. 2 по ЮЗАО - 50 км) Применительно</v>
      </c>
      <c r="D28" s="80" t="s">
        <v>136</v>
      </c>
      <c r="E28" s="83">
        <f>Source!I78</f>
        <v>2.7</v>
      </c>
      <c r="F28" s="80">
        <f>Source!U72</f>
      </c>
      <c r="G28" s="80">
        <f>Source!I78</f>
        <v>2.7</v>
      </c>
      <c r="H28" s="82"/>
    </row>
    <row r="31" spans="2:5" ht="15">
      <c r="B31" s="86" t="s">
        <v>388</v>
      </c>
      <c r="C31" s="14"/>
      <c r="D31" s="87" t="s">
        <v>389</v>
      </c>
      <c r="E31" s="88"/>
    </row>
  </sheetData>
  <sheetProtection/>
  <mergeCells count="7">
    <mergeCell ref="A26:H26"/>
    <mergeCell ref="D5:E5"/>
    <mergeCell ref="D7:E7"/>
    <mergeCell ref="B12:E12"/>
    <mergeCell ref="B13:E13"/>
    <mergeCell ref="A18:H18"/>
    <mergeCell ref="A19:H19"/>
  </mergeCells>
  <printOptions/>
  <pageMargins left="0.4" right="0.2" top="0.2" bottom="0.4" header="0.2" footer="0.2"/>
  <pageSetup fitToHeight="0" fitToWidth="1" horizontalDpi="600" verticalDpi="600" orientation="portrait" paperSize="9" scale="59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7109375" style="0" customWidth="1"/>
    <col min="3" max="3" width="40.7109375" style="0" customWidth="1"/>
    <col min="4" max="8" width="12.7109375" style="0" customWidth="1"/>
    <col min="20" max="30" width="0" style="0" hidden="1" customWidth="1"/>
    <col min="31" max="31" width="64.7109375" style="0" hidden="1" customWidth="1"/>
    <col min="32" max="32" width="0" style="0" hidden="1" customWidth="1"/>
    <col min="33" max="33" width="76.7109375" style="0" hidden="1" customWidth="1"/>
    <col min="34" max="37" width="0" style="0" hidden="1" customWidth="1"/>
  </cols>
  <sheetData>
    <row r="1" ht="12.75">
      <c r="A1" s="12" t="str">
        <f>Source!B1</f>
        <v>Smeta.RU  (495) 974-1589</v>
      </c>
    </row>
    <row r="2" spans="1:8" ht="15">
      <c r="A2" s="54"/>
      <c r="B2" s="54"/>
      <c r="C2" s="54"/>
      <c r="D2" s="54"/>
      <c r="E2" s="155" t="s">
        <v>390</v>
      </c>
      <c r="F2" s="155"/>
      <c r="G2" s="155"/>
      <c r="H2" s="155"/>
    </row>
    <row r="3" spans="1:8" ht="14.25">
      <c r="A3" s="14"/>
      <c r="B3" s="14"/>
      <c r="C3" s="14"/>
      <c r="D3" s="14"/>
      <c r="E3" s="155" t="s">
        <v>391</v>
      </c>
      <c r="F3" s="155"/>
      <c r="G3" s="155"/>
      <c r="H3" s="155"/>
    </row>
    <row r="4" spans="1:8" ht="14.25">
      <c r="A4" s="14"/>
      <c r="B4" s="14"/>
      <c r="C4" s="14"/>
      <c r="D4" s="14"/>
      <c r="E4" s="155" t="s">
        <v>392</v>
      </c>
      <c r="F4" s="155"/>
      <c r="G4" s="155"/>
      <c r="H4" s="155"/>
    </row>
    <row r="5" spans="1:8" ht="14.25">
      <c r="A5" s="14"/>
      <c r="B5" s="14"/>
      <c r="C5" s="14"/>
      <c r="D5" s="14"/>
      <c r="E5" s="14"/>
      <c r="F5" s="14"/>
      <c r="G5" s="14"/>
      <c r="H5" s="14"/>
    </row>
    <row r="6" spans="1:8" ht="14.25">
      <c r="A6" s="14"/>
      <c r="B6" s="14"/>
      <c r="C6" s="14"/>
      <c r="D6" s="14"/>
      <c r="E6" s="14"/>
      <c r="F6" s="14"/>
      <c r="G6" s="150" t="s">
        <v>393</v>
      </c>
      <c r="H6" s="151"/>
    </row>
    <row r="7" spans="1:8" ht="14.25">
      <c r="A7" s="14"/>
      <c r="B7" s="14"/>
      <c r="C7" s="14"/>
      <c r="D7" s="14"/>
      <c r="E7" s="14"/>
      <c r="F7" s="57" t="s">
        <v>394</v>
      </c>
      <c r="G7" s="156" t="s">
        <v>395</v>
      </c>
      <c r="H7" s="151"/>
    </row>
    <row r="8" spans="1:8" ht="14.25">
      <c r="A8" s="14"/>
      <c r="B8" s="14"/>
      <c r="C8" s="14"/>
      <c r="D8" s="14"/>
      <c r="E8" s="14"/>
      <c r="F8" s="14"/>
      <c r="G8" s="150">
        <f>IF(Source!AT15&lt;&gt;"",Source!AT15,"")</f>
      </c>
      <c r="H8" s="151"/>
    </row>
    <row r="9" spans="1:8" ht="14.25">
      <c r="A9" s="14" t="s">
        <v>396</v>
      </c>
      <c r="B9" s="14"/>
      <c r="C9" s="154">
        <f>IF(Source!BA15&lt;&gt;"",Source!BA15,IF(Source!AU15&lt;&gt;"",Source!AU15,""))</f>
      </c>
      <c r="D9" s="154"/>
      <c r="E9" s="154"/>
      <c r="F9" s="57" t="s">
        <v>397</v>
      </c>
      <c r="G9" s="152"/>
      <c r="H9" s="153"/>
    </row>
    <row r="10" spans="1:8" ht="14.25">
      <c r="A10" s="14"/>
      <c r="B10" s="14"/>
      <c r="C10" s="126" t="s">
        <v>398</v>
      </c>
      <c r="D10" s="126"/>
      <c r="E10" s="126"/>
      <c r="F10" s="14"/>
      <c r="G10" s="150">
        <f>IF(Source!AK15&lt;&gt;"",Source!AK15,"")</f>
      </c>
      <c r="H10" s="151"/>
    </row>
    <row r="11" spans="1:8" ht="14.25">
      <c r="A11" s="14" t="s">
        <v>399</v>
      </c>
      <c r="B11" s="14"/>
      <c r="C11" s="154" t="str">
        <f>IF(Source!AX12&lt;&gt;"",Source!AX12,IF(Source!AJ12&lt;&gt;"",Source!AJ12,""))</f>
        <v>ИПУ РАН</v>
      </c>
      <c r="D11" s="154"/>
      <c r="E11" s="154"/>
      <c r="F11" s="57" t="s">
        <v>397</v>
      </c>
      <c r="G11" s="152"/>
      <c r="H11" s="153"/>
    </row>
    <row r="12" spans="1:8" ht="14.25">
      <c r="A12" s="14"/>
      <c r="B12" s="14"/>
      <c r="C12" s="126" t="s">
        <v>398</v>
      </c>
      <c r="D12" s="126"/>
      <c r="E12" s="126"/>
      <c r="F12" s="14"/>
      <c r="G12" s="150">
        <f>IF(Source!AO15&lt;&gt;"",Source!AO15,"")</f>
      </c>
      <c r="H12" s="151"/>
    </row>
    <row r="13" spans="1:8" ht="14.25">
      <c r="A13" s="14" t="s">
        <v>400</v>
      </c>
      <c r="B13" s="14"/>
      <c r="C13" s="154">
        <f>IF(Source!AY12&lt;&gt;"",Source!AY12,IF(Source!AN12&lt;&gt;"",Source!AN12,""))</f>
      </c>
      <c r="D13" s="154"/>
      <c r="E13" s="154"/>
      <c r="F13" s="57" t="s">
        <v>397</v>
      </c>
      <c r="G13" s="152"/>
      <c r="H13" s="153"/>
    </row>
    <row r="14" spans="1:8" ht="14.25">
      <c r="A14" s="14"/>
      <c r="B14" s="14"/>
      <c r="C14" s="126" t="s">
        <v>398</v>
      </c>
      <c r="D14" s="126"/>
      <c r="E14" s="126"/>
      <c r="F14" s="14"/>
      <c r="G14" s="150">
        <f>IF(Source!CO15&lt;&gt;"",Source!CO15,"")</f>
      </c>
      <c r="H14" s="151"/>
    </row>
    <row r="15" spans="1:31" ht="14.25">
      <c r="A15" s="14" t="s">
        <v>401</v>
      </c>
      <c r="B15" s="14"/>
      <c r="C15" s="154" t="s">
        <v>4</v>
      </c>
      <c r="D15" s="154"/>
      <c r="E15" s="154"/>
      <c r="F15" s="14"/>
      <c r="G15" s="152"/>
      <c r="H15" s="153"/>
      <c r="AE15" s="55" t="s">
        <v>4</v>
      </c>
    </row>
    <row r="16" spans="1:8" ht="14.25">
      <c r="A16" s="14"/>
      <c r="B16" s="14"/>
      <c r="C16" s="126" t="s">
        <v>402</v>
      </c>
      <c r="D16" s="126"/>
      <c r="E16" s="126"/>
      <c r="F16" s="14"/>
      <c r="G16" s="150">
        <f>IF(Source!CP15&lt;&gt;"",Source!CP15,"")</f>
      </c>
      <c r="H16" s="151"/>
    </row>
    <row r="17" spans="1:31" ht="14.25">
      <c r="A17" s="14" t="s">
        <v>403</v>
      </c>
      <c r="B17" s="14"/>
      <c r="C17" s="154" t="str">
        <f>IF(Source!G12&lt;&gt;"Новый объект",Source!G12,"")</f>
        <v>Выполнение работ по замене остекления строения 3 ИПУ РАН</v>
      </c>
      <c r="D17" s="154"/>
      <c r="E17" s="154"/>
      <c r="F17" s="14"/>
      <c r="G17" s="157"/>
      <c r="H17" s="158"/>
      <c r="AE17" s="55" t="str">
        <f>IF(Source!G12&lt;&gt;"Новый объект",Source!G12,"")</f>
        <v>Выполнение работ по замене остекления строения 3 ИПУ РАН</v>
      </c>
    </row>
    <row r="18" spans="1:8" ht="14.25">
      <c r="A18" s="14"/>
      <c r="B18" s="14"/>
      <c r="C18" s="126" t="s">
        <v>404</v>
      </c>
      <c r="D18" s="126"/>
      <c r="E18" s="126"/>
      <c r="F18" s="14"/>
      <c r="G18" s="14"/>
      <c r="H18" s="14"/>
    </row>
    <row r="19" spans="1:8" ht="14.25">
      <c r="A19" s="14"/>
      <c r="B19" s="14"/>
      <c r="C19" s="14"/>
      <c r="D19" s="160" t="s">
        <v>405</v>
      </c>
      <c r="E19" s="160"/>
      <c r="F19" s="161"/>
      <c r="G19" s="150">
        <f>IF(Source!CQ15&lt;&gt;"",Source!CQ15,"")</f>
      </c>
      <c r="H19" s="151"/>
    </row>
    <row r="20" spans="1:8" ht="14.25">
      <c r="A20" s="14"/>
      <c r="B20" s="14"/>
      <c r="C20" s="14"/>
      <c r="D20" s="160" t="s">
        <v>406</v>
      </c>
      <c r="E20" s="161"/>
      <c r="F20" s="89" t="s">
        <v>407</v>
      </c>
      <c r="G20" s="150">
        <f>IF(Source!CR15&lt;&gt;"",Source!CR15,"")</f>
      </c>
      <c r="H20" s="151"/>
    </row>
    <row r="21" spans="1:8" ht="14.25">
      <c r="A21" s="14"/>
      <c r="B21" s="14"/>
      <c r="C21" s="14"/>
      <c r="D21" s="14"/>
      <c r="E21" s="14"/>
      <c r="F21" s="42" t="s">
        <v>408</v>
      </c>
      <c r="G21" s="162">
        <f>IF(Source!CS15&lt;&gt;0,Source!CS15,"")</f>
      </c>
      <c r="H21" s="163"/>
    </row>
    <row r="22" spans="1:8" ht="14.25">
      <c r="A22" s="14"/>
      <c r="B22" s="14"/>
      <c r="C22" s="14"/>
      <c r="D22" s="14"/>
      <c r="E22" s="14"/>
      <c r="F22" s="57" t="s">
        <v>409</v>
      </c>
      <c r="G22" s="164">
        <f>IF(Source!CT15&lt;&gt;"",Source!CT15,"")</f>
      </c>
      <c r="H22" s="165"/>
    </row>
    <row r="23" spans="1:8" ht="14.25">
      <c r="A23" s="14"/>
      <c r="B23" s="14"/>
      <c r="C23" s="14"/>
      <c r="D23" s="14"/>
      <c r="E23" s="14"/>
      <c r="F23" s="14"/>
      <c r="G23" s="14"/>
      <c r="H23" s="14"/>
    </row>
    <row r="24" spans="1:8" ht="14.25">
      <c r="A24" s="14"/>
      <c r="B24" s="14"/>
      <c r="C24" s="14"/>
      <c r="D24" s="127" t="s">
        <v>410</v>
      </c>
      <c r="E24" s="133" t="s">
        <v>411</v>
      </c>
      <c r="F24" s="133" t="s">
        <v>412</v>
      </c>
      <c r="G24" s="135"/>
      <c r="H24" s="14"/>
    </row>
    <row r="25" spans="1:8" ht="14.25">
      <c r="A25" s="14"/>
      <c r="B25" s="14"/>
      <c r="C25" s="14"/>
      <c r="D25" s="129"/>
      <c r="E25" s="136"/>
      <c r="F25" s="90" t="s">
        <v>413</v>
      </c>
      <c r="G25" s="91" t="s">
        <v>414</v>
      </c>
      <c r="H25" s="14"/>
    </row>
    <row r="26" spans="1:8" ht="14.25">
      <c r="A26" s="14"/>
      <c r="B26" s="14"/>
      <c r="C26" s="14"/>
      <c r="D26" s="92">
        <f>IF(Source!CN15&lt;&gt;"",Source!CN15,"")</f>
      </c>
      <c r="E26" s="93">
        <f>IF(Source!CX15&lt;&gt;0,Source!CX15,"")</f>
      </c>
      <c r="F26" s="93">
        <f>IF(Source!CV15&lt;&gt;0,Source!CV15,"")</f>
      </c>
      <c r="G26" s="93">
        <f>IF(Source!CW15&lt;&gt;0,Source!CW15,"")</f>
      </c>
      <c r="H26" s="14"/>
    </row>
    <row r="27" spans="1:8" ht="14.25">
      <c r="A27" s="14"/>
      <c r="B27" s="14"/>
      <c r="C27" s="14"/>
      <c r="D27" s="14"/>
      <c r="E27" s="14"/>
      <c r="F27" s="14"/>
      <c r="G27" s="14"/>
      <c r="H27" s="14"/>
    </row>
    <row r="28" spans="1:8" ht="18">
      <c r="A28" s="159" t="s">
        <v>415</v>
      </c>
      <c r="B28" s="159"/>
      <c r="C28" s="159"/>
      <c r="D28" s="159"/>
      <c r="E28" s="159"/>
      <c r="F28" s="159"/>
      <c r="G28" s="159"/>
      <c r="H28" s="159"/>
    </row>
    <row r="29" spans="1:8" ht="18">
      <c r="A29" s="159" t="s">
        <v>416</v>
      </c>
      <c r="B29" s="159"/>
      <c r="C29" s="159"/>
      <c r="D29" s="159"/>
      <c r="E29" s="159"/>
      <c r="F29" s="159"/>
      <c r="G29" s="159"/>
      <c r="H29" s="159"/>
    </row>
    <row r="30" spans="1:8" ht="14.25">
      <c r="A30" s="14"/>
      <c r="B30" s="14"/>
      <c r="C30" s="14"/>
      <c r="D30" s="14"/>
      <c r="E30" s="14"/>
      <c r="F30" s="14"/>
      <c r="G30" s="14"/>
      <c r="H30" s="14"/>
    </row>
    <row r="31" spans="1:8" ht="15">
      <c r="A31" s="11" t="s">
        <v>417</v>
      </c>
      <c r="B31" s="14"/>
      <c r="C31" s="14"/>
      <c r="D31" s="14"/>
      <c r="E31" s="14"/>
      <c r="F31" s="166">
        <f>ROUND((Source!P176/1000),2)</f>
        <v>769.7</v>
      </c>
      <c r="G31" s="166"/>
      <c r="H31" s="14" t="s">
        <v>418</v>
      </c>
    </row>
    <row r="32" spans="1:8" ht="14.25">
      <c r="A32" s="14"/>
      <c r="B32" s="14"/>
      <c r="C32" s="14"/>
      <c r="D32" s="14"/>
      <c r="E32" s="14"/>
      <c r="F32" s="14"/>
      <c r="G32" s="14"/>
      <c r="H32" s="14"/>
    </row>
    <row r="33" spans="1:8" ht="14.25">
      <c r="A33" s="167" t="s">
        <v>419</v>
      </c>
      <c r="B33" s="167"/>
      <c r="C33" s="167" t="s">
        <v>420</v>
      </c>
      <c r="D33" s="167" t="s">
        <v>421</v>
      </c>
      <c r="E33" s="167" t="s">
        <v>313</v>
      </c>
      <c r="F33" s="167" t="s">
        <v>422</v>
      </c>
      <c r="G33" s="167"/>
      <c r="H33" s="167"/>
    </row>
    <row r="34" spans="1:8" ht="57">
      <c r="A34" s="80" t="s">
        <v>423</v>
      </c>
      <c r="B34" s="80" t="s">
        <v>424</v>
      </c>
      <c r="C34" s="167"/>
      <c r="D34" s="167"/>
      <c r="E34" s="167"/>
      <c r="F34" s="80" t="s">
        <v>314</v>
      </c>
      <c r="G34" s="80" t="s">
        <v>425</v>
      </c>
      <c r="H34" s="80" t="s">
        <v>426</v>
      </c>
    </row>
    <row r="35" spans="1:8" ht="14.25">
      <c r="A35" s="80">
        <v>1</v>
      </c>
      <c r="B35" s="80">
        <v>2</v>
      </c>
      <c r="C35" s="80">
        <v>3</v>
      </c>
      <c r="D35" s="80">
        <v>4</v>
      </c>
      <c r="E35" s="80">
        <v>5</v>
      </c>
      <c r="F35" s="80">
        <v>6</v>
      </c>
      <c r="G35" s="80">
        <v>7</v>
      </c>
      <c r="H35" s="80">
        <v>8</v>
      </c>
    </row>
    <row r="37" spans="1:8" ht="16.5">
      <c r="A37" s="143" t="str">
        <f>CONCATENATE("Локальная смета: ",IF(Source!G20&lt;&gt;"Новая локальная смета",Source!G20,""))</f>
        <v>Локальная смета: </v>
      </c>
      <c r="B37" s="143"/>
      <c r="C37" s="143"/>
      <c r="D37" s="143"/>
      <c r="E37" s="143"/>
      <c r="F37" s="143"/>
      <c r="G37" s="143"/>
      <c r="H37" s="143"/>
    </row>
    <row r="39" spans="1:8" ht="16.5">
      <c r="A39" s="143" t="str">
        <f>CONCATENATE("Раздел: ",IF(Source!G24&lt;&gt;"Новый раздел",Source!G24,""))</f>
        <v>Раздел: Замена стекол</v>
      </c>
      <c r="B39" s="143"/>
      <c r="C39" s="143"/>
      <c r="D39" s="143"/>
      <c r="E39" s="143"/>
      <c r="F39" s="143"/>
      <c r="G39" s="143"/>
      <c r="H39" s="143"/>
    </row>
    <row r="40" spans="1:28" ht="57">
      <c r="A40" s="74">
        <v>1</v>
      </c>
      <c r="B40" s="74">
        <v>1</v>
      </c>
      <c r="C40" s="74" t="str">
        <f>Source!G29</f>
        <v>Установка и разборка внутренних трубчатых инвентарных лесов: при высоте помещений до 6 м</v>
      </c>
      <c r="D40" s="74" t="str">
        <f>Source!F29</f>
        <v>08-07-002-01</v>
      </c>
      <c r="E40" s="58" t="str">
        <f>Source!H29</f>
        <v>100 м2 горизонтальной проекции</v>
      </c>
      <c r="F40" s="14">
        <f>Source!I29</f>
        <v>0.4</v>
      </c>
      <c r="G40" s="44">
        <f>Source!AB29</f>
        <v>1091.77</v>
      </c>
      <c r="H40" s="44">
        <f>Source!O29</f>
        <v>11516.31</v>
      </c>
      <c r="T40">
        <f>Source!O29</f>
        <v>11516.31</v>
      </c>
      <c r="U40">
        <f>Source!P29</f>
        <v>1020.02</v>
      </c>
      <c r="V40">
        <f>Source!S29</f>
        <v>10418.01</v>
      </c>
      <c r="W40">
        <f>Source!Q29</f>
        <v>78.28</v>
      </c>
      <c r="X40">
        <f>Source!R29</f>
        <v>38.98</v>
      </c>
      <c r="Y40">
        <f>Source!U29</f>
        <v>32.292</v>
      </c>
      <c r="Z40">
        <f>Source!V29</f>
        <v>0.09</v>
      </c>
      <c r="AA40">
        <f>Source!X29</f>
        <v>10352.42</v>
      </c>
      <c r="AB40">
        <f>Source!Y29</f>
        <v>6133.02</v>
      </c>
    </row>
    <row r="41" spans="3:8" ht="14.25">
      <c r="C41" s="46" t="str">
        <f>"Объем: "&amp;Source!I29&amp;"=40/"&amp;"100"</f>
        <v>Объем: 0,4=40/100</v>
      </c>
      <c r="F41" s="14"/>
      <c r="G41" s="14"/>
      <c r="H41" s="14"/>
    </row>
    <row r="42" spans="3:4" ht="63.75">
      <c r="C42" s="46" t="s">
        <v>427</v>
      </c>
      <c r="D42" s="46" t="str">
        <f>Source!BO29</f>
        <v>Письмо Минстроя России от 28.08.2023 № 52355-ИФ/09</v>
      </c>
    </row>
    <row r="43" spans="3:4" ht="12.75">
      <c r="C43" s="46" t="s">
        <v>428</v>
      </c>
      <c r="D43" s="46">
        <f>Source!BA29</f>
        <v>37.34</v>
      </c>
    </row>
    <row r="44" spans="3:4" ht="12.75">
      <c r="C44" s="46" t="s">
        <v>429</v>
      </c>
      <c r="D44" s="46">
        <f>Source!BB29</f>
        <v>13.24</v>
      </c>
    </row>
    <row r="45" spans="3:4" ht="12.75">
      <c r="C45" s="46" t="s">
        <v>430</v>
      </c>
      <c r="D45" s="46">
        <f>Source!BC29</f>
        <v>6.72</v>
      </c>
    </row>
    <row r="46" spans="3:4" ht="12.75">
      <c r="C46" s="46" t="s">
        <v>431</v>
      </c>
      <c r="D46" s="46">
        <f>Source!BS29</f>
        <v>37.34</v>
      </c>
    </row>
    <row r="47" spans="3:8" ht="12.75">
      <c r="C47" s="46" t="s">
        <v>432</v>
      </c>
      <c r="D47" s="168" t="s">
        <v>31</v>
      </c>
      <c r="E47" s="168"/>
      <c r="F47" s="168"/>
      <c r="G47" s="168"/>
      <c r="H47" s="168"/>
    </row>
    <row r="48" spans="3:8" ht="12.75">
      <c r="C48" s="46" t="s">
        <v>433</v>
      </c>
      <c r="D48" s="168" t="s">
        <v>31</v>
      </c>
      <c r="E48" s="168"/>
      <c r="F48" s="168"/>
      <c r="G48" s="168"/>
      <c r="H48" s="168"/>
    </row>
    <row r="49" spans="3:8" ht="12.75">
      <c r="C49" s="46" t="s">
        <v>434</v>
      </c>
      <c r="D49" s="168" t="s">
        <v>32</v>
      </c>
      <c r="E49" s="168"/>
      <c r="F49" s="168"/>
      <c r="G49" s="168"/>
      <c r="H49" s="168"/>
    </row>
    <row r="50" spans="3:8" ht="12.75">
      <c r="C50" s="46" t="s">
        <v>435</v>
      </c>
      <c r="D50" s="168" t="s">
        <v>32</v>
      </c>
      <c r="E50" s="168"/>
      <c r="F50" s="168"/>
      <c r="G50" s="168"/>
      <c r="H50" s="168"/>
    </row>
    <row r="51" spans="3:8" ht="12.75">
      <c r="C51" s="46" t="s">
        <v>436</v>
      </c>
      <c r="D51" s="168" t="s">
        <v>31</v>
      </c>
      <c r="E51" s="168"/>
      <c r="F51" s="168"/>
      <c r="G51" s="168"/>
      <c r="H51" s="168"/>
    </row>
    <row r="52" spans="3:8" ht="12.75">
      <c r="C52" s="46" t="s">
        <v>437</v>
      </c>
      <c r="D52" s="168" t="s">
        <v>33</v>
      </c>
      <c r="E52" s="168"/>
      <c r="F52" s="168"/>
      <c r="G52" s="168"/>
      <c r="H52" s="168"/>
    </row>
    <row r="53" spans="3:8" ht="12.75">
      <c r="C53" s="46" t="s">
        <v>438</v>
      </c>
      <c r="D53" s="168" t="s">
        <v>34</v>
      </c>
      <c r="E53" s="168"/>
      <c r="F53" s="168"/>
      <c r="G53" s="168"/>
      <c r="H53" s="168"/>
    </row>
    <row r="54" spans="1:28" ht="57">
      <c r="A54" s="74">
        <v>2</v>
      </c>
      <c r="B54" s="74">
        <v>2</v>
      </c>
      <c r="C54" s="74" t="str">
        <f>Source!G31</f>
        <v>Смена стекол толщиной 4-6 мм в металлических переплетах на штапиках: по эластичной прокладке при площади стекол (Применительно)</v>
      </c>
      <c r="D54" s="74" t="str">
        <f>Source!F31</f>
        <v>63-3-6</v>
      </c>
      <c r="E54" s="58" t="str">
        <f>Source!H31</f>
        <v>100 м2</v>
      </c>
      <c r="F54" s="14">
        <f>Source!I31</f>
        <v>2.7816</v>
      </c>
      <c r="G54" s="44">
        <f>Source!AB31</f>
        <v>2127.64</v>
      </c>
      <c r="H54" s="44">
        <f>Source!O31</f>
        <v>143419.13</v>
      </c>
      <c r="T54">
        <f>Source!O31</f>
        <v>143419.13</v>
      </c>
      <c r="U54">
        <f>Source!P31</f>
        <v>16666.66</v>
      </c>
      <c r="V54">
        <f>Source!S31</f>
        <v>125859.38</v>
      </c>
      <c r="W54">
        <f>Source!Q31</f>
        <v>893.09</v>
      </c>
      <c r="X54">
        <f>Source!R31</f>
        <v>652.27</v>
      </c>
      <c r="Y54">
        <f>Source!U31</f>
        <v>367.1712</v>
      </c>
      <c r="Z54">
        <f>Source!V31</f>
        <v>1.3908</v>
      </c>
      <c r="AA54">
        <f>Source!X31</f>
        <v>113860.49</v>
      </c>
      <c r="AB54">
        <f>Source!Y31</f>
        <v>56930.24</v>
      </c>
    </row>
    <row r="55" spans="3:8" ht="14.25">
      <c r="C55" s="46" t="str">
        <f>"Объем: "&amp;Source!I31&amp;"=278,16/"&amp;"100"</f>
        <v>Объем: 2,7816=278,16/100</v>
      </c>
      <c r="F55" s="14"/>
      <c r="G55" s="14"/>
      <c r="H55" s="14"/>
    </row>
    <row r="56" spans="3:4" ht="63.75">
      <c r="C56" s="46" t="s">
        <v>427</v>
      </c>
      <c r="D56" s="46" t="str">
        <f>Source!BO31</f>
        <v>Письмо Минстроя России от 28.08.2023 № 52355-ИФ/09</v>
      </c>
    </row>
    <row r="57" spans="3:4" ht="12.75">
      <c r="C57" s="46" t="s">
        <v>428</v>
      </c>
      <c r="D57" s="46">
        <f>Source!BA31</f>
        <v>37.34</v>
      </c>
    </row>
    <row r="58" spans="3:4" ht="12.75">
      <c r="C58" s="46" t="s">
        <v>429</v>
      </c>
      <c r="D58" s="46">
        <f>Source!BB31</f>
        <v>13.24</v>
      </c>
    </row>
    <row r="59" spans="3:4" ht="12.75">
      <c r="C59" s="46" t="s">
        <v>430</v>
      </c>
      <c r="D59" s="46">
        <f>Source!BC31</f>
        <v>6.72</v>
      </c>
    </row>
    <row r="60" spans="3:4" ht="12.75">
      <c r="C60" s="46" t="s">
        <v>431</v>
      </c>
      <c r="D60" s="46">
        <f>Source!BS31</f>
        <v>37.34</v>
      </c>
    </row>
    <row r="61" spans="1:28" ht="28.5">
      <c r="A61" s="74" t="s">
        <v>53</v>
      </c>
      <c r="B61" s="74" t="s">
        <v>53</v>
      </c>
      <c r="C61" s="74" t="str">
        <f>Source!G33</f>
        <v>Стекло листовое М1, площадь до 1,0 м2, группа 1, толщина 6 мм</v>
      </c>
      <c r="D61" s="74" t="str">
        <f>Source!F33</f>
        <v>01.8.02.06-0091</v>
      </c>
      <c r="E61" s="58" t="str">
        <f>Source!H33</f>
        <v>м2</v>
      </c>
      <c r="F61" s="14">
        <f>Source!I33</f>
        <v>57.68</v>
      </c>
      <c r="G61" s="44">
        <f>Source!AB33</f>
        <v>56.67</v>
      </c>
      <c r="H61" s="44">
        <f>Source!O33</f>
        <v>21965.84</v>
      </c>
      <c r="T61">
        <f>Source!O33</f>
        <v>21965.84</v>
      </c>
      <c r="U61">
        <f>Source!P33</f>
        <v>21965.84</v>
      </c>
      <c r="V61">
        <f>Source!S33</f>
        <v>0</v>
      </c>
      <c r="W61">
        <f>Source!Q33</f>
        <v>0</v>
      </c>
      <c r="X61">
        <f>Source!R33</f>
        <v>0</v>
      </c>
      <c r="Y61">
        <f>Source!U33</f>
        <v>0</v>
      </c>
      <c r="Z61">
        <f>Source!V33</f>
        <v>0</v>
      </c>
      <c r="AA61">
        <f>Source!X33</f>
        <v>0</v>
      </c>
      <c r="AB61">
        <f>Source!Y33</f>
        <v>0</v>
      </c>
    </row>
    <row r="62" spans="3:8" ht="63.75">
      <c r="C62" s="46" t="s">
        <v>427</v>
      </c>
      <c r="D62" s="46" t="str">
        <f>Source!BO33</f>
        <v>Письмо Минстроя России от 28.08.2023 № 52355-ИФ/09</v>
      </c>
      <c r="F62" s="14"/>
      <c r="G62" s="14"/>
      <c r="H62" s="14"/>
    </row>
    <row r="63" spans="3:4" ht="12.75">
      <c r="C63" s="46" t="s">
        <v>430</v>
      </c>
      <c r="D63" s="46">
        <f>Source!BC33</f>
        <v>6.72</v>
      </c>
    </row>
    <row r="64" spans="1:28" ht="28.5">
      <c r="A64" s="74" t="s">
        <v>58</v>
      </c>
      <c r="B64" s="74" t="s">
        <v>58</v>
      </c>
      <c r="C64" s="74" t="str">
        <f>Source!G35</f>
        <v>Стекло листовое площадью до 4,3 м2, 1 группы, толщиной: 7 мм, марки М7</v>
      </c>
      <c r="D64" s="74" t="str">
        <f>Source!F35</f>
        <v>01.8.02.06-0101</v>
      </c>
      <c r="E64" s="58" t="str">
        <f>Source!H35</f>
        <v>м2</v>
      </c>
      <c r="F64" s="14">
        <f>Source!I35</f>
        <v>224.72</v>
      </c>
      <c r="G64" s="44">
        <f>Source!AB35</f>
        <v>53.54</v>
      </c>
      <c r="H64" s="44">
        <f>Source!O35</f>
        <v>80851.74</v>
      </c>
      <c r="T64">
        <f>Source!O35</f>
        <v>80851.74</v>
      </c>
      <c r="U64">
        <f>Source!P35</f>
        <v>80851.74</v>
      </c>
      <c r="V64">
        <f>Source!S35</f>
        <v>0</v>
      </c>
      <c r="W64">
        <f>Source!Q35</f>
        <v>0</v>
      </c>
      <c r="X64">
        <f>Source!R35</f>
        <v>0</v>
      </c>
      <c r="Y64">
        <f>Source!U35</f>
        <v>0</v>
      </c>
      <c r="Z64">
        <f>Source!V35</f>
        <v>0</v>
      </c>
      <c r="AA64">
        <f>Source!X35</f>
        <v>0</v>
      </c>
      <c r="AB64">
        <f>Source!Y35</f>
        <v>0</v>
      </c>
    </row>
    <row r="65" spans="3:8" ht="63.75">
      <c r="C65" s="46" t="s">
        <v>427</v>
      </c>
      <c r="D65" s="46" t="str">
        <f>Source!BO35</f>
        <v>Письмо Минстроя России от 28.08.2023 № 52355-ИФ/09</v>
      </c>
      <c r="F65" s="14"/>
      <c r="G65" s="14"/>
      <c r="H65" s="14"/>
    </row>
    <row r="66" spans="3:4" ht="12.75">
      <c r="C66" s="46" t="s">
        <v>430</v>
      </c>
      <c r="D66" s="46">
        <f>Source!BC35</f>
        <v>6.72</v>
      </c>
    </row>
    <row r="67" spans="1:28" ht="14.25">
      <c r="A67" s="74" t="s">
        <v>62</v>
      </c>
      <c r="B67" s="74" t="s">
        <v>62</v>
      </c>
      <c r="C67" s="74" t="str">
        <f>Source!G37</f>
        <v>Строительный мусор</v>
      </c>
      <c r="D67" s="74" t="str">
        <f>Source!F37</f>
        <v>999-9900</v>
      </c>
      <c r="E67" s="58" t="str">
        <f>Source!H37</f>
        <v>т</v>
      </c>
      <c r="F67" s="14">
        <f>Source!I37</f>
        <v>2.725968</v>
      </c>
      <c r="G67" s="44">
        <f>Source!AB37</f>
        <v>0</v>
      </c>
      <c r="H67" s="44">
        <f>Source!O37</f>
        <v>0</v>
      </c>
      <c r="T67">
        <f>Source!O37</f>
        <v>0</v>
      </c>
      <c r="U67">
        <f>Source!P37</f>
        <v>0</v>
      </c>
      <c r="V67">
        <f>Source!S37</f>
        <v>0</v>
      </c>
      <c r="W67">
        <f>Source!Q37</f>
        <v>0</v>
      </c>
      <c r="X67">
        <f>Source!R37</f>
        <v>0</v>
      </c>
      <c r="Y67">
        <f>Source!U37</f>
        <v>0</v>
      </c>
      <c r="Z67">
        <f>Source!V37</f>
        <v>0</v>
      </c>
      <c r="AA67">
        <f>Source!X37</f>
        <v>0</v>
      </c>
      <c r="AB67">
        <f>Source!Y37</f>
        <v>0</v>
      </c>
    </row>
    <row r="68" spans="3:8" ht="63.75">
      <c r="C68" s="46" t="s">
        <v>427</v>
      </c>
      <c r="D68" s="46" t="str">
        <f>Source!BO37</f>
        <v>Письмо Минстроя России от 28.08.2023 № 52355-ИФ/09</v>
      </c>
      <c r="F68" s="14"/>
      <c r="G68" s="14"/>
      <c r="H68" s="14"/>
    </row>
    <row r="69" spans="3:4" ht="12.75">
      <c r="C69" s="46" t="s">
        <v>430</v>
      </c>
      <c r="D69" s="46">
        <f>Source!BC37</f>
        <v>6.72</v>
      </c>
    </row>
    <row r="70" spans="1:28" ht="28.5">
      <c r="A70" s="74">
        <v>3</v>
      </c>
      <c r="B70" s="74">
        <v>3</v>
      </c>
      <c r="C70" s="74" t="str">
        <f>Source!G39</f>
        <v>Замена уплотнителей  окон (Применительно)</v>
      </c>
      <c r="D70" s="74" t="str">
        <f>Source!F39</f>
        <v>07-05-039-19</v>
      </c>
      <c r="E70" s="58" t="str">
        <f>Source!H39</f>
        <v>100 м</v>
      </c>
      <c r="F70" s="14">
        <f>Source!I39</f>
        <v>7.2344</v>
      </c>
      <c r="G70" s="44">
        <f>Source!AB39</f>
        <v>2997.39</v>
      </c>
      <c r="H70" s="44">
        <f>Source!O39</f>
        <v>161079.74</v>
      </c>
      <c r="T70">
        <f>Source!O39</f>
        <v>161079.74</v>
      </c>
      <c r="U70">
        <f>Source!P39</f>
        <v>141938.79</v>
      </c>
      <c r="V70">
        <f>Source!S39</f>
        <v>18117.79</v>
      </c>
      <c r="W70">
        <f>Source!Q39</f>
        <v>1023.16</v>
      </c>
      <c r="X70">
        <f>Source!R39</f>
        <v>510.55</v>
      </c>
      <c r="Y70">
        <f>Source!U39</f>
        <v>53.49477079999999</v>
      </c>
      <c r="Z70">
        <f>Source!V39</f>
        <v>1.1755900000000001</v>
      </c>
      <c r="AA70">
        <f>Source!X39</f>
        <v>19447.99</v>
      </c>
      <c r="AB70">
        <f>Source!Y39</f>
        <v>12667.27</v>
      </c>
    </row>
    <row r="71" spans="3:8" ht="14.25">
      <c r="C71" s="46" t="str">
        <f>"Объем: "&amp;Source!I39&amp;"=723,44/"&amp;"100"</f>
        <v>Объем: 7,2344=723,44/100</v>
      </c>
      <c r="F71" s="14"/>
      <c r="G71" s="14"/>
      <c r="H71" s="14"/>
    </row>
    <row r="72" spans="3:4" ht="63.75">
      <c r="C72" s="46" t="s">
        <v>427</v>
      </c>
      <c r="D72" s="46" t="str">
        <f>Source!BO39</f>
        <v>Письмо Минстроя России от 28.08.2023 № 52355-ИФ/09</v>
      </c>
    </row>
    <row r="73" spans="3:4" ht="12.75">
      <c r="C73" s="46" t="s">
        <v>428</v>
      </c>
      <c r="D73" s="46">
        <f>Source!BA39</f>
        <v>37.34</v>
      </c>
    </row>
    <row r="74" spans="3:4" ht="12.75">
      <c r="C74" s="46" t="s">
        <v>429</v>
      </c>
      <c r="D74" s="46">
        <f>Source!BB39</f>
        <v>13.24</v>
      </c>
    </row>
    <row r="75" spans="3:4" ht="12.75">
      <c r="C75" s="46" t="s">
        <v>430</v>
      </c>
      <c r="D75" s="46">
        <f>Source!BC39</f>
        <v>6.72</v>
      </c>
    </row>
    <row r="76" spans="3:4" ht="12.75">
      <c r="C76" s="46" t="s">
        <v>431</v>
      </c>
      <c r="D76" s="46">
        <f>Source!BS39</f>
        <v>37.34</v>
      </c>
    </row>
    <row r="77" spans="3:8" ht="12.75">
      <c r="C77" s="46" t="s">
        <v>432</v>
      </c>
      <c r="D77" s="168" t="s">
        <v>31</v>
      </c>
      <c r="E77" s="168"/>
      <c r="F77" s="168"/>
      <c r="G77" s="168"/>
      <c r="H77" s="168"/>
    </row>
    <row r="78" spans="3:8" ht="12.75">
      <c r="C78" s="46" t="s">
        <v>433</v>
      </c>
      <c r="D78" s="168" t="s">
        <v>31</v>
      </c>
      <c r="E78" s="168"/>
      <c r="F78" s="168"/>
      <c r="G78" s="168"/>
      <c r="H78" s="168"/>
    </row>
    <row r="79" spans="3:8" ht="12.75">
      <c r="C79" s="46" t="s">
        <v>434</v>
      </c>
      <c r="D79" s="168" t="s">
        <v>32</v>
      </c>
      <c r="E79" s="168"/>
      <c r="F79" s="168"/>
      <c r="G79" s="168"/>
      <c r="H79" s="168"/>
    </row>
    <row r="80" spans="3:8" ht="12.75">
      <c r="C80" s="46" t="s">
        <v>435</v>
      </c>
      <c r="D80" s="168" t="s">
        <v>32</v>
      </c>
      <c r="E80" s="168"/>
      <c r="F80" s="168"/>
      <c r="G80" s="168"/>
      <c r="H80" s="168"/>
    </row>
    <row r="81" spans="3:8" ht="12.75">
      <c r="C81" s="46" t="s">
        <v>436</v>
      </c>
      <c r="D81" s="168" t="s">
        <v>31</v>
      </c>
      <c r="E81" s="168"/>
      <c r="F81" s="168"/>
      <c r="G81" s="168"/>
      <c r="H81" s="168"/>
    </row>
    <row r="82" spans="3:8" ht="12.75">
      <c r="C82" s="46" t="s">
        <v>437</v>
      </c>
      <c r="D82" s="168" t="s">
        <v>33</v>
      </c>
      <c r="E82" s="168"/>
      <c r="F82" s="168"/>
      <c r="G82" s="168"/>
      <c r="H82" s="168"/>
    </row>
    <row r="83" spans="3:8" ht="12.75">
      <c r="C83" s="46" t="s">
        <v>438</v>
      </c>
      <c r="D83" s="168" t="s">
        <v>34</v>
      </c>
      <c r="E83" s="168"/>
      <c r="F83" s="168"/>
      <c r="G83" s="168"/>
      <c r="H83" s="168"/>
    </row>
    <row r="85" spans="1:8" ht="15">
      <c r="A85" s="64"/>
      <c r="B85" s="64"/>
      <c r="C85" s="131" t="str">
        <f>CONCATENATE("Итого по разделу: ",IF(Source!G41&lt;&gt;"Новый раздел",Source!G41,""))</f>
        <v>Итого по разделу: Замена стекол</v>
      </c>
      <c r="D85" s="131"/>
      <c r="E85" s="131"/>
      <c r="F85" s="131"/>
      <c r="G85" s="64"/>
      <c r="H85" s="65">
        <f>IF(SUM(T39:T84)=0,"-",SUM(T39:T84))</f>
        <v>418832.76</v>
      </c>
    </row>
    <row r="86" spans="1:8" ht="15">
      <c r="A86" s="64"/>
      <c r="B86" s="64"/>
      <c r="C86" s="64"/>
      <c r="D86" s="64"/>
      <c r="E86" s="64"/>
      <c r="F86" s="64"/>
      <c r="G86" s="64"/>
      <c r="H86" s="64"/>
    </row>
    <row r="88" spans="3:8" ht="14.25">
      <c r="C88" s="130" t="str">
        <f>Source!H70</f>
        <v>итого по разделу</v>
      </c>
      <c r="D88" s="130"/>
      <c r="E88" s="130"/>
      <c r="F88" s="130"/>
      <c r="G88" s="169">
        <f>IF(Source!P70=0,"",Source!P70)</f>
        <v>638224.19</v>
      </c>
      <c r="H88" s="169"/>
    </row>
    <row r="90" spans="1:8" ht="16.5">
      <c r="A90" s="143" t="str">
        <f>CONCATENATE("Раздел: ",IF(Source!G72&lt;&gt;"Новый раздел",Source!G72,""))</f>
        <v>Раздел: Разные работы</v>
      </c>
      <c r="B90" s="143"/>
      <c r="C90" s="143"/>
      <c r="D90" s="143"/>
      <c r="E90" s="143"/>
      <c r="F90" s="143"/>
      <c r="G90" s="143"/>
      <c r="H90" s="143"/>
    </row>
    <row r="91" spans="1:28" ht="42.75">
      <c r="A91" s="74">
        <v>4</v>
      </c>
      <c r="B91" s="74">
        <v>4</v>
      </c>
      <c r="C91" s="74" t="str">
        <f>Source!G77</f>
        <v>Погрузочные работы при автомобильных перевозках мусора строительного с погрузкой вручную</v>
      </c>
      <c r="D91" s="74" t="str">
        <f>Source!F77</f>
        <v>т01-01-01-041</v>
      </c>
      <c r="E91" s="58" t="str">
        <f>Source!H77</f>
        <v>1 Т ГРУЗА</v>
      </c>
      <c r="F91" s="14">
        <f>Source!I77</f>
        <v>2.7</v>
      </c>
      <c r="G91" s="44">
        <f>Source!AB77</f>
        <v>42.98</v>
      </c>
      <c r="H91" s="44">
        <f>Source!GM77</f>
        <v>1536.45</v>
      </c>
      <c r="T91">
        <f>Source!GM77</f>
        <v>1536.45</v>
      </c>
      <c r="U91">
        <f>Source!P77</f>
        <v>0</v>
      </c>
      <c r="V91">
        <f>Source!S77</f>
        <v>0</v>
      </c>
      <c r="W91">
        <f>Source!Q77</f>
        <v>0</v>
      </c>
      <c r="X91">
        <f>Source!R77</f>
        <v>0</v>
      </c>
      <c r="Y91">
        <f>Source!U77</f>
        <v>0</v>
      </c>
      <c r="Z91">
        <f>Source!V77</f>
        <v>0</v>
      </c>
      <c r="AA91">
        <f>Source!X77</f>
        <v>0</v>
      </c>
      <c r="AB91">
        <f>Source!Y77</f>
        <v>0</v>
      </c>
    </row>
    <row r="92" spans="3:8" ht="63.75">
      <c r="C92" s="46" t="s">
        <v>427</v>
      </c>
      <c r="D92" s="46" t="str">
        <f>Source!BO77</f>
        <v>Письмо Минстроя России от 28.08.2023 № 52355-ИФ/09</v>
      </c>
      <c r="F92" s="14"/>
      <c r="G92" s="14"/>
      <c r="H92" s="14"/>
    </row>
    <row r="93" spans="3:4" ht="12.75">
      <c r="C93" s="46" t="s">
        <v>439</v>
      </c>
      <c r="D93" s="46">
        <f>Source!AZ77</f>
        <v>13.24</v>
      </c>
    </row>
    <row r="94" spans="1:28" ht="85.5">
      <c r="A94" s="74">
        <v>5</v>
      </c>
      <c r="B94" s="74">
        <v>5</v>
      </c>
      <c r="C94" s="74" t="str">
        <f>Source!G79</f>
        <v>Перевозка грузов I класса автомобилями бортовыми грузоподъемностью до 5 т на расстояние: до 50 км (Приказ от 06.11.2020 № МКЭ-ОД/20-68 прил. 2 по ЮЗАО - 50 км) Применительно</v>
      </c>
      <c r="D94" s="74" t="str">
        <f>Source!F79</f>
        <v>т03-02-01-050</v>
      </c>
      <c r="E94" s="58" t="str">
        <f>Source!H79</f>
        <v>1 Т ГРУЗА</v>
      </c>
      <c r="F94" s="14">
        <f>Source!I79</f>
        <v>2.7</v>
      </c>
      <c r="G94" s="44">
        <f>Source!AB79</f>
        <v>46.37</v>
      </c>
      <c r="H94" s="44">
        <f>Source!GM79</f>
        <v>1657.63</v>
      </c>
      <c r="T94">
        <f>Source!GM79</f>
        <v>1657.63</v>
      </c>
      <c r="U94">
        <f>Source!P79</f>
        <v>0</v>
      </c>
      <c r="V94">
        <f>Source!S79</f>
        <v>0</v>
      </c>
      <c r="W94">
        <f>Source!Q79</f>
        <v>0</v>
      </c>
      <c r="X94">
        <f>Source!R79</f>
        <v>0</v>
      </c>
      <c r="Y94">
        <f>Source!U79</f>
        <v>0</v>
      </c>
      <c r="Z94">
        <f>Source!V79</f>
        <v>0</v>
      </c>
      <c r="AA94">
        <f>Source!X79</f>
        <v>0</v>
      </c>
      <c r="AB94">
        <f>Source!Y79</f>
        <v>0</v>
      </c>
    </row>
    <row r="95" spans="3:8" ht="63.75">
      <c r="C95" s="46" t="s">
        <v>427</v>
      </c>
      <c r="D95" s="46" t="str">
        <f>Source!BO79</f>
        <v>Письмо Минстроя России от 28.08.2023 № 52355-ИФ/09</v>
      </c>
      <c r="F95" s="14"/>
      <c r="G95" s="14"/>
      <c r="H95" s="14"/>
    </row>
    <row r="96" spans="3:4" ht="12.75">
      <c r="C96" s="46" t="s">
        <v>439</v>
      </c>
      <c r="D96" s="46">
        <f>Source!AZ79</f>
        <v>13.24</v>
      </c>
    </row>
    <row r="98" spans="1:8" ht="15">
      <c r="A98" s="64"/>
      <c r="B98" s="64"/>
      <c r="C98" s="131" t="str">
        <f>CONCATENATE("Итого по разделу: ",IF(Source!G81&lt;&gt;"Новый раздел",Source!G81,""))</f>
        <v>Итого по разделу: Разные работы</v>
      </c>
      <c r="D98" s="131"/>
      <c r="E98" s="131"/>
      <c r="F98" s="131"/>
      <c r="G98" s="64"/>
      <c r="H98" s="65">
        <f>IF(SUM(T90:T97)=0,"-",SUM(T90:T97))</f>
        <v>3194.08</v>
      </c>
    </row>
    <row r="99" spans="1:8" ht="15">
      <c r="A99" s="64"/>
      <c r="B99" s="64"/>
      <c r="C99" s="64"/>
      <c r="D99" s="64"/>
      <c r="E99" s="64"/>
      <c r="F99" s="64"/>
      <c r="G99" s="64"/>
      <c r="H99" s="64"/>
    </row>
    <row r="101" spans="3:8" ht="14.25">
      <c r="C101" s="130" t="str">
        <f>Source!H110</f>
        <v>итого по разделу</v>
      </c>
      <c r="D101" s="130"/>
      <c r="E101" s="130"/>
      <c r="F101" s="130"/>
      <c r="G101" s="169">
        <f>IF(Source!P110=0,"",Source!P110)</f>
        <v>3194.08</v>
      </c>
      <c r="H101" s="169"/>
    </row>
    <row r="103" spans="1:8" ht="15">
      <c r="A103" s="64"/>
      <c r="B103" s="64"/>
      <c r="C103" s="131" t="str">
        <f>CONCATENATE("Итого по локальной смете: ",IF(Source!G112&lt;&gt;"Новая локальная смета",Source!G112,""))</f>
        <v>Итого по локальной смете: </v>
      </c>
      <c r="D103" s="131"/>
      <c r="E103" s="131"/>
      <c r="F103" s="131"/>
      <c r="G103" s="64"/>
      <c r="H103" s="65">
        <f>IF(SUM(T37:T102)=0,"-",SUM(T37:T102))</f>
        <v>422026.84</v>
      </c>
    </row>
    <row r="104" spans="1:8" ht="15">
      <c r="A104" s="64"/>
      <c r="B104" s="64"/>
      <c r="C104" s="64"/>
      <c r="D104" s="64"/>
      <c r="E104" s="64"/>
      <c r="F104" s="64"/>
      <c r="G104" s="64"/>
      <c r="H104" s="64"/>
    </row>
    <row r="106" spans="3:8" ht="14.25">
      <c r="C106" s="130" t="str">
        <f>Source!H142</f>
        <v>НДС20%</v>
      </c>
      <c r="D106" s="130"/>
      <c r="E106" s="130"/>
      <c r="F106" s="130"/>
      <c r="G106" s="169">
        <f>IF(Source!P142=0,"",Source!P142)</f>
        <v>128283.65</v>
      </c>
      <c r="H106" s="169"/>
    </row>
    <row r="107" spans="3:8" ht="14.25">
      <c r="C107" s="130" t="str">
        <f>Source!H143</f>
        <v>ВСЕГО ПО СМЕТЕ</v>
      </c>
      <c r="D107" s="130"/>
      <c r="E107" s="130"/>
      <c r="F107" s="130"/>
      <c r="G107" s="169">
        <f>IF(Source!P143=0,"",Source!P143)</f>
        <v>769701.92</v>
      </c>
      <c r="H107" s="169"/>
    </row>
    <row r="109" spans="1:33" ht="30">
      <c r="A109" s="64"/>
      <c r="B109" s="64"/>
      <c r="C109" s="131" t="str">
        <f>CONCATENATE("Итого по смете: ",IF(Source!G145&lt;&gt;"Новый объект",Source!G145,""))</f>
        <v>Итого по смете: Выполнение работ по замене остекления строения 3 ИПУ РАН</v>
      </c>
      <c r="D109" s="131"/>
      <c r="E109" s="131"/>
      <c r="F109" s="131"/>
      <c r="G109" s="64"/>
      <c r="H109" s="65">
        <f>IF(SUM(T1:T108)=0,"-",SUM(T1:T108))</f>
        <v>422026.84</v>
      </c>
      <c r="AG109" s="94" t="str">
        <f>CONCATENATE("Итого по смете: ",IF(Source!G145&lt;&gt;"Новый объект",Source!G145,""))</f>
        <v>Итого по смете: Выполнение работ по замене остекления строения 3 ИПУ РАН</v>
      </c>
    </row>
    <row r="110" spans="1:8" ht="15">
      <c r="A110" s="64"/>
      <c r="B110" s="64"/>
      <c r="C110" s="64"/>
      <c r="D110" s="64"/>
      <c r="E110" s="64"/>
      <c r="F110" s="64"/>
      <c r="G110" s="64"/>
      <c r="H110" s="64"/>
    </row>
    <row r="113" spans="1:12" ht="15" thickBot="1">
      <c r="A113" s="170" t="s">
        <v>440</v>
      </c>
      <c r="B113" s="170"/>
      <c r="C113" s="95" t="str">
        <f>IF(Source!AC12&lt;&gt;"",Source!AC12," ")</f>
        <v>Вед. инженер РЕСО</v>
      </c>
      <c r="D113" s="14"/>
      <c r="E113" s="96"/>
      <c r="F113" s="14"/>
      <c r="G113" s="171" t="str">
        <f>IF(Source!AB12&lt;&gt;"",Source!AB12," ")</f>
        <v>Степанова А.М.</v>
      </c>
      <c r="H113" s="171"/>
      <c r="I113" s="14"/>
      <c r="J113" s="14"/>
      <c r="K113" s="14"/>
      <c r="L113" s="14"/>
    </row>
    <row r="114" spans="1:12" ht="14.25">
      <c r="A114" s="14"/>
      <c r="B114" s="14"/>
      <c r="C114" s="97" t="s">
        <v>441</v>
      </c>
      <c r="D114" s="14"/>
      <c r="E114" s="97" t="s">
        <v>442</v>
      </c>
      <c r="F114" s="14"/>
      <c r="G114" s="172" t="s">
        <v>443</v>
      </c>
      <c r="H114" s="172"/>
      <c r="I114" s="14"/>
      <c r="J114" s="14"/>
      <c r="K114" s="14"/>
      <c r="L114" s="14"/>
    </row>
    <row r="115" spans="1:12" ht="14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4.25">
      <c r="A116" s="14"/>
      <c r="B116" s="14"/>
      <c r="C116" s="17" t="s">
        <v>444</v>
      </c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4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15" thickBot="1">
      <c r="A118" s="170" t="s">
        <v>445</v>
      </c>
      <c r="B118" s="170"/>
      <c r="C118" s="95" t="str">
        <f>IF(Source!AG12&lt;&gt;"",Source!AG12," ")</f>
        <v> </v>
      </c>
      <c r="D118" s="14"/>
      <c r="E118" s="96"/>
      <c r="F118" s="14"/>
      <c r="G118" s="171" t="str">
        <f>IF(Source!AF12&lt;&gt;"",Source!AF12," ")</f>
        <v> </v>
      </c>
      <c r="H118" s="171"/>
      <c r="I118" s="14"/>
      <c r="J118" s="14"/>
      <c r="K118" s="14"/>
      <c r="L118" s="14"/>
    </row>
    <row r="119" spans="1:12" ht="14.25">
      <c r="A119" s="14"/>
      <c r="B119" s="14"/>
      <c r="C119" s="97" t="s">
        <v>441</v>
      </c>
      <c r="D119" s="14"/>
      <c r="E119" s="97" t="s">
        <v>442</v>
      </c>
      <c r="F119" s="14"/>
      <c r="G119" s="172" t="s">
        <v>443</v>
      </c>
      <c r="H119" s="172"/>
      <c r="I119" s="14"/>
      <c r="J119" s="14"/>
      <c r="K119" s="14"/>
      <c r="L119" s="14"/>
    </row>
    <row r="120" spans="1:12" ht="14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ht="14.25">
      <c r="A121" s="14"/>
      <c r="B121" s="14"/>
      <c r="C121" s="17" t="s">
        <v>444</v>
      </c>
      <c r="D121" s="14"/>
      <c r="E121" s="14"/>
      <c r="F121" s="14"/>
      <c r="G121" s="14"/>
      <c r="H121" s="14"/>
      <c r="I121" s="14"/>
      <c r="J121" s="14"/>
      <c r="K121" s="14"/>
      <c r="L121" s="14"/>
    </row>
  </sheetData>
  <sheetProtection/>
  <mergeCells count="72">
    <mergeCell ref="A118:B118"/>
    <mergeCell ref="G118:H118"/>
    <mergeCell ref="G119:H119"/>
    <mergeCell ref="C107:F107"/>
    <mergeCell ref="G107:H107"/>
    <mergeCell ref="C109:F109"/>
    <mergeCell ref="A113:B113"/>
    <mergeCell ref="G113:H113"/>
    <mergeCell ref="G114:H114"/>
    <mergeCell ref="C106:F106"/>
    <mergeCell ref="G106:H106"/>
    <mergeCell ref="D80:H80"/>
    <mergeCell ref="D81:H81"/>
    <mergeCell ref="D82:H82"/>
    <mergeCell ref="D83:H83"/>
    <mergeCell ref="C85:F85"/>
    <mergeCell ref="C88:F88"/>
    <mergeCell ref="G88:H88"/>
    <mergeCell ref="A90:H90"/>
    <mergeCell ref="C98:F98"/>
    <mergeCell ref="C101:F101"/>
    <mergeCell ref="G101:H101"/>
    <mergeCell ref="C103:F103"/>
    <mergeCell ref="D79:H79"/>
    <mergeCell ref="A37:H37"/>
    <mergeCell ref="A39:H39"/>
    <mergeCell ref="D47:H47"/>
    <mergeCell ref="D48:H48"/>
    <mergeCell ref="D49:H49"/>
    <mergeCell ref="D50:H50"/>
    <mergeCell ref="D51:H51"/>
    <mergeCell ref="D52:H52"/>
    <mergeCell ref="D53:H53"/>
    <mergeCell ref="D77:H77"/>
    <mergeCell ref="D78:H78"/>
    <mergeCell ref="F31:G31"/>
    <mergeCell ref="A33:B33"/>
    <mergeCell ref="C33:C34"/>
    <mergeCell ref="D33:D34"/>
    <mergeCell ref="E33:E34"/>
    <mergeCell ref="F33:H33"/>
    <mergeCell ref="A29:H29"/>
    <mergeCell ref="C18:E18"/>
    <mergeCell ref="D19:F19"/>
    <mergeCell ref="G19:H19"/>
    <mergeCell ref="D20:E20"/>
    <mergeCell ref="G20:H20"/>
    <mergeCell ref="G21:H21"/>
    <mergeCell ref="G22:H22"/>
    <mergeCell ref="D24:D25"/>
    <mergeCell ref="E24:E25"/>
    <mergeCell ref="F24:G24"/>
    <mergeCell ref="A28:H28"/>
    <mergeCell ref="C14:E14"/>
    <mergeCell ref="G14:H15"/>
    <mergeCell ref="C15:E15"/>
    <mergeCell ref="C16:E16"/>
    <mergeCell ref="G16:H17"/>
    <mergeCell ref="C17:E17"/>
    <mergeCell ref="C10:E10"/>
    <mergeCell ref="G10:H11"/>
    <mergeCell ref="C11:E11"/>
    <mergeCell ref="C12:E12"/>
    <mergeCell ref="G12:H13"/>
    <mergeCell ref="C13:E13"/>
    <mergeCell ref="G8:H9"/>
    <mergeCell ref="C9:E9"/>
    <mergeCell ref="E2:H2"/>
    <mergeCell ref="E3:H3"/>
    <mergeCell ref="E4:H4"/>
    <mergeCell ref="G6:H6"/>
    <mergeCell ref="G7:H7"/>
  </mergeCells>
  <printOptions/>
  <pageMargins left="0.4" right="0.2" top="0.2" bottom="0.4" header="0.2" footer="0.2"/>
  <pageSetup fitToHeight="0" fitToWidth="1" horizontalDpi="600" verticalDpi="600" orientation="portrait" paperSize="9" scale="85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hidden="1" customWidth="1"/>
    <col min="31" max="32" width="0" style="0" hidden="1" customWidth="1"/>
  </cols>
  <sheetData>
    <row r="1" ht="12.75">
      <c r="A1" s="12" t="str">
        <f>Source!B1</f>
        <v>Smeta.RU  (495) 974-1589</v>
      </c>
    </row>
    <row r="2" spans="3:4" ht="14.25">
      <c r="C2" s="14"/>
      <c r="D2" s="14"/>
    </row>
    <row r="3" spans="3:4" ht="15">
      <c r="C3" s="14"/>
      <c r="D3" s="64" t="s">
        <v>287</v>
      </c>
    </row>
    <row r="4" spans="3:4" ht="15">
      <c r="C4" s="64"/>
      <c r="D4" s="64"/>
    </row>
    <row r="5" spans="3:4" ht="15">
      <c r="C5" s="147" t="s">
        <v>382</v>
      </c>
      <c r="D5" s="147"/>
    </row>
    <row r="6" spans="3:4" ht="15">
      <c r="C6" s="79"/>
      <c r="D6" s="79"/>
    </row>
    <row r="7" spans="3:4" ht="15">
      <c r="C7" s="147" t="s">
        <v>382</v>
      </c>
      <c r="D7" s="147"/>
    </row>
    <row r="8" spans="3:4" ht="15">
      <c r="C8" s="79"/>
      <c r="D8" s="79"/>
    </row>
    <row r="9" spans="3:4" ht="15">
      <c r="C9" s="64" t="s">
        <v>383</v>
      </c>
      <c r="D9" s="14"/>
    </row>
    <row r="10" spans="1:5" ht="14.25">
      <c r="A10" s="14"/>
      <c r="B10" s="14"/>
      <c r="C10" s="14"/>
      <c r="D10" s="14"/>
      <c r="E10" s="14"/>
    </row>
    <row r="11" spans="1:5" ht="15.75">
      <c r="A11" s="173" t="str">
        <f>CONCATENATE("Дефектный акт ",IF(Source!AN15&lt;&gt;"",Source!AN15," "))</f>
        <v>Дефектный акт  </v>
      </c>
      <c r="B11" s="173"/>
      <c r="C11" s="173"/>
      <c r="D11" s="173"/>
      <c r="E11" s="14"/>
    </row>
    <row r="12" spans="1:30" ht="15">
      <c r="A12" s="174" t="str">
        <f>CONCATENATE("На капитальный ремонт ",Source!F12," ",Source!G12)</f>
        <v>На капитальный ремонт  Выполнение работ по замене остекления строения 3 ИПУ РАН</v>
      </c>
      <c r="B12" s="174"/>
      <c r="C12" s="174"/>
      <c r="D12" s="174"/>
      <c r="E12" s="14"/>
      <c r="AD12" s="99" t="str">
        <f>CONCATENATE("На капитальный ремонт ",Source!F12," ",Source!G12)</f>
        <v>На капитальный ремонт  Выполнение работ по замене остекления строения 3 ИПУ РАН</v>
      </c>
    </row>
    <row r="13" spans="1:5" ht="14.25">
      <c r="A13" s="14"/>
      <c r="B13" s="14"/>
      <c r="C13" s="14"/>
      <c r="D13" s="14"/>
      <c r="E13" s="14"/>
    </row>
    <row r="14" spans="1:5" ht="15">
      <c r="A14" s="14"/>
      <c r="B14" s="98" t="s">
        <v>446</v>
      </c>
      <c r="C14" s="14"/>
      <c r="D14" s="14"/>
      <c r="E14" s="14"/>
    </row>
    <row r="15" spans="1:5" ht="15">
      <c r="A15" s="14"/>
      <c r="B15" s="98" t="s">
        <v>447</v>
      </c>
      <c r="C15" s="14"/>
      <c r="D15" s="14"/>
      <c r="E15" s="14"/>
    </row>
    <row r="16" spans="1:5" ht="15">
      <c r="A16" s="14"/>
      <c r="B16" s="98" t="s">
        <v>448</v>
      </c>
      <c r="C16" s="14"/>
      <c r="D16" s="14"/>
      <c r="E16" s="14"/>
    </row>
    <row r="17" spans="1:5" ht="28.5">
      <c r="A17" s="80" t="s">
        <v>310</v>
      </c>
      <c r="B17" s="80" t="s">
        <v>312</v>
      </c>
      <c r="C17" s="80" t="s">
        <v>313</v>
      </c>
      <c r="D17" s="80" t="s">
        <v>314</v>
      </c>
      <c r="E17" s="81" t="s">
        <v>387</v>
      </c>
    </row>
    <row r="18" spans="1:5" ht="14.25">
      <c r="A18" s="100">
        <v>1</v>
      </c>
      <c r="B18" s="100">
        <v>2</v>
      </c>
      <c r="C18" s="100">
        <v>3</v>
      </c>
      <c r="D18" s="100">
        <v>4</v>
      </c>
      <c r="E18" s="101">
        <v>5</v>
      </c>
    </row>
    <row r="19" spans="1:5" ht="16.5">
      <c r="A19" s="146" t="str">
        <f>CONCATENATE("Локальная смета: ",Source!G20)</f>
        <v>Локальная смета: </v>
      </c>
      <c r="B19" s="146"/>
      <c r="C19" s="146"/>
      <c r="D19" s="146"/>
      <c r="E19" s="146"/>
    </row>
    <row r="20" spans="1:5" ht="16.5">
      <c r="A20" s="146" t="str">
        <f>CONCATENATE("Раздел: ",Source!G24)</f>
        <v>Раздел: Замена стекол</v>
      </c>
      <c r="B20" s="146"/>
      <c r="C20" s="146"/>
      <c r="D20" s="146"/>
      <c r="E20" s="146"/>
    </row>
    <row r="21" spans="1:5" ht="42.75">
      <c r="A21" s="106">
        <v>1</v>
      </c>
      <c r="B21" s="107" t="str">
        <f>Source!G28</f>
        <v>Установка и разборка внутренних трубчатых инвентарных лесов: при высоте помещений до 6 м</v>
      </c>
      <c r="C21" s="108" t="str">
        <f>Source!H28</f>
        <v>100 м2 горизонтальной проекции</v>
      </c>
      <c r="D21" s="109">
        <f>Source!I28</f>
        <v>0.4</v>
      </c>
      <c r="E21" s="107"/>
    </row>
    <row r="22" spans="1:5" ht="28.5">
      <c r="A22" s="106">
        <v>2</v>
      </c>
      <c r="B22" s="107" t="str">
        <f>Source!G30</f>
        <v>Смена стекол толщиной 4-6 мм в металлических переплетах на штапиках: по эластичной прокладке при площади стекол (Применительно)</v>
      </c>
      <c r="C22" s="108" t="str">
        <f>Source!H30</f>
        <v>100 м2</v>
      </c>
      <c r="D22" s="109">
        <f>Source!I30</f>
        <v>2.7816</v>
      </c>
      <c r="E22" s="107"/>
    </row>
    <row r="23" spans="1:5" ht="14.25">
      <c r="A23" s="106">
        <v>2.1</v>
      </c>
      <c r="B23" s="107" t="str">
        <f>Source!G32</f>
        <v>Стекло листовое М1, площадь до 1,0 м2, группа 1, толщина 6 мм</v>
      </c>
      <c r="C23" s="108" t="str">
        <f>Source!H32</f>
        <v>м2</v>
      </c>
      <c r="D23" s="109">
        <f>Source!I32</f>
        <v>57.68</v>
      </c>
      <c r="E23" s="107"/>
    </row>
    <row r="24" spans="1:5" ht="28.5">
      <c r="A24" s="106">
        <v>2.2</v>
      </c>
      <c r="B24" s="107" t="str">
        <f>Source!G34</f>
        <v>Стекло листовое площадью до 4,3 м2, 1 группы, толщиной: 7 мм, марки М7</v>
      </c>
      <c r="C24" s="108" t="str">
        <f>Source!H34</f>
        <v>м2</v>
      </c>
      <c r="D24" s="109">
        <f>Source!I34</f>
        <v>224.72</v>
      </c>
      <c r="E24" s="107"/>
    </row>
    <row r="25" spans="1:5" ht="14.25">
      <c r="A25" s="106">
        <v>2.3</v>
      </c>
      <c r="B25" s="107" t="str">
        <f>Source!G36</f>
        <v>Строительный мусор</v>
      </c>
      <c r="C25" s="108" t="str">
        <f>Source!H36</f>
        <v>т</v>
      </c>
      <c r="D25" s="109">
        <f>Source!I36</f>
        <v>2.725968</v>
      </c>
      <c r="E25" s="107"/>
    </row>
    <row r="26" spans="1:5" ht="14.25">
      <c r="A26" s="106">
        <v>3</v>
      </c>
      <c r="B26" s="107" t="str">
        <f>Source!G38</f>
        <v>Замена уплотнителей  окон (Применительно)</v>
      </c>
      <c r="C26" s="108" t="str">
        <f>Source!H38</f>
        <v>100 м</v>
      </c>
      <c r="D26" s="109">
        <f>Source!I38</f>
        <v>7.2344</v>
      </c>
      <c r="E26" s="107"/>
    </row>
    <row r="27" spans="1:5" ht="16.5">
      <c r="A27" s="146" t="str">
        <f>CONCATENATE("Раздел: ",Source!G72)</f>
        <v>Раздел: Разные работы</v>
      </c>
      <c r="B27" s="146"/>
      <c r="C27" s="146"/>
      <c r="D27" s="146"/>
      <c r="E27" s="146"/>
    </row>
    <row r="28" spans="1:5" ht="28.5">
      <c r="A28" s="106">
        <v>4</v>
      </c>
      <c r="B28" s="107" t="str">
        <f>Source!G76</f>
        <v>Погрузочные работы при автомобильных перевозках мусора строительного с погрузкой вручную</v>
      </c>
      <c r="C28" s="108" t="str">
        <f>Source!H76</f>
        <v>1 Т ГРУЗА</v>
      </c>
      <c r="D28" s="109">
        <f>Source!I76</f>
        <v>2.7</v>
      </c>
      <c r="E28" s="107"/>
    </row>
    <row r="29" spans="1:5" ht="42.75">
      <c r="A29" s="102">
        <v>5</v>
      </c>
      <c r="B29" s="103" t="str">
        <f>Source!G78</f>
        <v>Перевозка грузов I класса автомобилями бортовыми грузоподъемностью до 5 т на расстояние: до 50 км (Приказ от 06.11.2020 № МКЭ-ОД/20-68 прил. 2 по ЮЗАО - 50 км) Применительно</v>
      </c>
      <c r="C29" s="104" t="str">
        <f>Source!H78</f>
        <v>1 Т ГРУЗА</v>
      </c>
      <c r="D29" s="105">
        <f>Source!I78</f>
        <v>2.7</v>
      </c>
      <c r="E29" s="103"/>
    </row>
    <row r="32" spans="1:5" ht="15">
      <c r="A32" s="54" t="s">
        <v>449</v>
      </c>
      <c r="B32" s="54"/>
      <c r="C32" s="54" t="s">
        <v>450</v>
      </c>
      <c r="D32" s="54"/>
      <c r="E32" s="54"/>
    </row>
  </sheetData>
  <sheetProtection/>
  <mergeCells count="7">
    <mergeCell ref="A27:E27"/>
    <mergeCell ref="C5:D5"/>
    <mergeCell ref="C7:D7"/>
    <mergeCell ref="A11:D11"/>
    <mergeCell ref="A12:D12"/>
    <mergeCell ref="A19:E19"/>
    <mergeCell ref="A20:E20"/>
  </mergeCells>
  <printOptions/>
  <pageMargins left="0.4" right="0.2" top="0.2" bottom="0.4" header="0.2" footer="0.2"/>
  <pageSetup fitToHeight="0" fitToWidth="1" horizontalDpi="600" verticalDpi="600" orientation="portrait" paperSize="9" scale="76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214"/>
  <sheetViews>
    <sheetView zoomScalePageLayoutView="0" workbookViewId="0" topLeftCell="A1">
      <selection activeCell="A210" sqref="A210:AN210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208</v>
      </c>
      <c r="C12" s="1">
        <v>0</v>
      </c>
      <c r="D12" s="1">
        <f>ROW(A145)</f>
        <v>145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284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3">
        <v>52</v>
      </c>
      <c r="B18" s="3">
        <f aca="true" t="shared" si="0" ref="B18:G18">B145</f>
        <v>208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>
        <f t="shared" si="0"/>
      </c>
      <c r="G18" s="3" t="str">
        <f t="shared" si="0"/>
        <v>Выполнение работ по замене остекления строения 3 ИПУ РАН</v>
      </c>
      <c r="H18" s="3"/>
      <c r="I18" s="3"/>
      <c r="J18" s="3"/>
      <c r="K18" s="3"/>
      <c r="L18" s="3"/>
      <c r="M18" s="3"/>
      <c r="N18" s="3"/>
      <c r="O18" s="3">
        <f aca="true" t="shared" si="1" ref="O18:AT18">O145</f>
        <v>43339.48</v>
      </c>
      <c r="P18" s="3">
        <f t="shared" si="1"/>
        <v>39054.03</v>
      </c>
      <c r="Q18" s="3">
        <f t="shared" si="1"/>
        <v>150.61</v>
      </c>
      <c r="R18" s="3">
        <f t="shared" si="1"/>
        <v>32.18</v>
      </c>
      <c r="S18" s="3">
        <f t="shared" si="1"/>
        <v>4134.84</v>
      </c>
      <c r="T18" s="3">
        <f t="shared" si="1"/>
        <v>0</v>
      </c>
      <c r="U18" s="3">
        <f t="shared" si="1"/>
        <v>452.9579708</v>
      </c>
      <c r="V18" s="3">
        <f t="shared" si="1"/>
        <v>2.65639</v>
      </c>
      <c r="W18" s="3">
        <f t="shared" si="1"/>
        <v>0</v>
      </c>
      <c r="X18" s="3">
        <f t="shared" si="1"/>
        <v>3847.36</v>
      </c>
      <c r="Y18" s="3">
        <f t="shared" si="1"/>
        <v>2028.13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49456.22</v>
      </c>
      <c r="AS18" s="3">
        <f t="shared" si="1"/>
        <v>49456.22</v>
      </c>
      <c r="AT18" s="3">
        <f t="shared" si="1"/>
        <v>0</v>
      </c>
      <c r="AU18" s="3">
        <f aca="true" t="shared" si="2" ref="AU18:BZ18">AU145</f>
        <v>0</v>
      </c>
      <c r="AV18" s="3">
        <f t="shared" si="2"/>
        <v>39054.03</v>
      </c>
      <c r="AW18" s="3">
        <f t="shared" si="2"/>
        <v>39054.03</v>
      </c>
      <c r="AX18" s="3">
        <f t="shared" si="2"/>
        <v>0</v>
      </c>
      <c r="AY18" s="3">
        <f t="shared" si="2"/>
        <v>39054.03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241.25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CA145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aca="true" t="shared" si="4" ref="DG18:EL18">DG145</f>
        <v>418832.76</v>
      </c>
      <c r="DH18" s="4">
        <f t="shared" si="4"/>
        <v>262443.05</v>
      </c>
      <c r="DI18" s="4">
        <f t="shared" si="4"/>
        <v>1994.53</v>
      </c>
      <c r="DJ18" s="4">
        <f t="shared" si="4"/>
        <v>1201.8</v>
      </c>
      <c r="DK18" s="4">
        <f t="shared" si="4"/>
        <v>154395.18</v>
      </c>
      <c r="DL18" s="4">
        <f t="shared" si="4"/>
        <v>0</v>
      </c>
      <c r="DM18" s="4">
        <f t="shared" si="4"/>
        <v>452.9579708</v>
      </c>
      <c r="DN18" s="4">
        <f t="shared" si="4"/>
        <v>2.65639</v>
      </c>
      <c r="DO18" s="4">
        <f t="shared" si="4"/>
        <v>0</v>
      </c>
      <c r="DP18" s="4">
        <f t="shared" si="4"/>
        <v>143660.9</v>
      </c>
      <c r="DQ18" s="4">
        <f t="shared" si="4"/>
        <v>75730.53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641418.27</v>
      </c>
      <c r="EK18" s="4">
        <f t="shared" si="4"/>
        <v>641418.27</v>
      </c>
      <c r="EL18" s="4">
        <f t="shared" si="4"/>
        <v>0</v>
      </c>
      <c r="EM18" s="4">
        <f aca="true" t="shared" si="5" ref="EM18:FR18">EM145</f>
        <v>0</v>
      </c>
      <c r="EN18" s="4">
        <f t="shared" si="5"/>
        <v>262443.05</v>
      </c>
      <c r="EO18" s="4">
        <f t="shared" si="5"/>
        <v>262443.05</v>
      </c>
      <c r="EP18" s="4">
        <f t="shared" si="5"/>
        <v>0</v>
      </c>
      <c r="EQ18" s="4">
        <f t="shared" si="5"/>
        <v>262443.05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3194.08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aca="true" t="shared" si="6" ref="FS18:GX18">FS145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95" ht="12.75">
      <c r="A20" s="1">
        <v>3</v>
      </c>
      <c r="B20" s="1">
        <v>1</v>
      </c>
      <c r="C20" s="1"/>
      <c r="D20" s="1">
        <f>ROW(A112)</f>
        <v>112</v>
      </c>
      <c r="E20" s="1"/>
      <c r="F20" s="1" t="s">
        <v>3</v>
      </c>
      <c r="G20" s="1" t="s">
        <v>3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>
        <v>0</v>
      </c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5</v>
      </c>
      <c r="AC20" s="1" t="s">
        <v>19</v>
      </c>
      <c r="AD20" s="1" t="s">
        <v>20</v>
      </c>
      <c r="AE20" s="1" t="s">
        <v>21</v>
      </c>
      <c r="AF20" s="1" t="s">
        <v>22</v>
      </c>
      <c r="AG20" s="1" t="s">
        <v>23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3">
        <v>52</v>
      </c>
      <c r="B22" s="3">
        <f aca="true" t="shared" si="7" ref="B22:G22">B112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>
        <f t="shared" si="7"/>
      </c>
      <c r="G22" s="3">
        <f t="shared" si="7"/>
      </c>
      <c r="H22" s="3"/>
      <c r="I22" s="3"/>
      <c r="J22" s="3"/>
      <c r="K22" s="3"/>
      <c r="L22" s="3"/>
      <c r="M22" s="3"/>
      <c r="N22" s="3"/>
      <c r="O22" s="3">
        <f aca="true" t="shared" si="8" ref="O22:AT22">O112</f>
        <v>43339.48</v>
      </c>
      <c r="P22" s="3">
        <f t="shared" si="8"/>
        <v>39054.03</v>
      </c>
      <c r="Q22" s="3">
        <f t="shared" si="8"/>
        <v>150.61</v>
      </c>
      <c r="R22" s="3">
        <f t="shared" si="8"/>
        <v>32.18</v>
      </c>
      <c r="S22" s="3">
        <f t="shared" si="8"/>
        <v>4134.84</v>
      </c>
      <c r="T22" s="3">
        <f t="shared" si="8"/>
        <v>0</v>
      </c>
      <c r="U22" s="3">
        <f t="shared" si="8"/>
        <v>452.9579708</v>
      </c>
      <c r="V22" s="3">
        <f t="shared" si="8"/>
        <v>2.65639</v>
      </c>
      <c r="W22" s="3">
        <f t="shared" si="8"/>
        <v>0</v>
      </c>
      <c r="X22" s="3">
        <f t="shared" si="8"/>
        <v>3847.36</v>
      </c>
      <c r="Y22" s="3">
        <f t="shared" si="8"/>
        <v>2028.13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49456.22</v>
      </c>
      <c r="AS22" s="3">
        <f t="shared" si="8"/>
        <v>49456.22</v>
      </c>
      <c r="AT22" s="3">
        <f t="shared" si="8"/>
        <v>0</v>
      </c>
      <c r="AU22" s="3">
        <f aca="true" t="shared" si="9" ref="AU22:BZ22">AU112</f>
        <v>0</v>
      </c>
      <c r="AV22" s="3">
        <f t="shared" si="9"/>
        <v>39054.03</v>
      </c>
      <c r="AW22" s="3">
        <f t="shared" si="9"/>
        <v>39054.03</v>
      </c>
      <c r="AX22" s="3">
        <f t="shared" si="9"/>
        <v>0</v>
      </c>
      <c r="AY22" s="3">
        <f t="shared" si="9"/>
        <v>39054.03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241.25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aca="true" t="shared" si="10" ref="CA22:DF22">CA112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aca="true" t="shared" si="11" ref="DG22:EL22">DG112</f>
        <v>418832.76</v>
      </c>
      <c r="DH22" s="4">
        <f t="shared" si="11"/>
        <v>262443.05</v>
      </c>
      <c r="DI22" s="4">
        <f t="shared" si="11"/>
        <v>1994.53</v>
      </c>
      <c r="DJ22" s="4">
        <f t="shared" si="11"/>
        <v>1201.8</v>
      </c>
      <c r="DK22" s="4">
        <f t="shared" si="11"/>
        <v>154395.18</v>
      </c>
      <c r="DL22" s="4">
        <f t="shared" si="11"/>
        <v>0</v>
      </c>
      <c r="DM22" s="4">
        <f t="shared" si="11"/>
        <v>452.9579708</v>
      </c>
      <c r="DN22" s="4">
        <f t="shared" si="11"/>
        <v>2.65639</v>
      </c>
      <c r="DO22" s="4">
        <f t="shared" si="11"/>
        <v>0</v>
      </c>
      <c r="DP22" s="4">
        <f t="shared" si="11"/>
        <v>143660.9</v>
      </c>
      <c r="DQ22" s="4">
        <f t="shared" si="11"/>
        <v>75730.53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641418.27</v>
      </c>
      <c r="EK22" s="4">
        <f t="shared" si="11"/>
        <v>641418.27</v>
      </c>
      <c r="EL22" s="4">
        <f t="shared" si="11"/>
        <v>0</v>
      </c>
      <c r="EM22" s="4">
        <f aca="true" t="shared" si="12" ref="EM22:FR22">EM112</f>
        <v>0</v>
      </c>
      <c r="EN22" s="4">
        <f t="shared" si="12"/>
        <v>262443.05</v>
      </c>
      <c r="EO22" s="4">
        <f t="shared" si="12"/>
        <v>262443.05</v>
      </c>
      <c r="EP22" s="4">
        <f t="shared" si="12"/>
        <v>0</v>
      </c>
      <c r="EQ22" s="4">
        <f t="shared" si="12"/>
        <v>262443.05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3194.08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aca="true" t="shared" si="13" ref="FS22:GX22">FS112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ROW(A41)</f>
        <v>41</v>
      </c>
      <c r="E24" s="1"/>
      <c r="F24" s="1" t="s">
        <v>24</v>
      </c>
      <c r="G24" s="1" t="s">
        <v>25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>
        <v>0</v>
      </c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3">
        <v>52</v>
      </c>
      <c r="B26" s="3">
        <f aca="true" t="shared" si="14" ref="B26:G26">B41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 t="str">
        <f t="shared" si="14"/>
        <v>Новый раздел</v>
      </c>
      <c r="G26" s="3" t="str">
        <f t="shared" si="14"/>
        <v>Замена стекол</v>
      </c>
      <c r="H26" s="3"/>
      <c r="I26" s="3"/>
      <c r="J26" s="3"/>
      <c r="K26" s="3"/>
      <c r="L26" s="3"/>
      <c r="M26" s="3"/>
      <c r="N26" s="3"/>
      <c r="O26" s="3">
        <f aca="true" t="shared" si="15" ref="O26:AT26">O41</f>
        <v>43339.48</v>
      </c>
      <c r="P26" s="3">
        <f t="shared" si="15"/>
        <v>39054.03</v>
      </c>
      <c r="Q26" s="3">
        <f t="shared" si="15"/>
        <v>150.61</v>
      </c>
      <c r="R26" s="3">
        <f t="shared" si="15"/>
        <v>32.18</v>
      </c>
      <c r="S26" s="3">
        <f t="shared" si="15"/>
        <v>4134.84</v>
      </c>
      <c r="T26" s="3">
        <f t="shared" si="15"/>
        <v>0</v>
      </c>
      <c r="U26" s="3">
        <f t="shared" si="15"/>
        <v>452.9579708</v>
      </c>
      <c r="V26" s="3">
        <f t="shared" si="15"/>
        <v>2.65639</v>
      </c>
      <c r="W26" s="3">
        <f t="shared" si="15"/>
        <v>0</v>
      </c>
      <c r="X26" s="3">
        <f t="shared" si="15"/>
        <v>3847.36</v>
      </c>
      <c r="Y26" s="3">
        <f t="shared" si="15"/>
        <v>2028.13</v>
      </c>
      <c r="Z26" s="3">
        <f t="shared" si="15"/>
        <v>0</v>
      </c>
      <c r="AA26" s="3">
        <f t="shared" si="15"/>
        <v>0</v>
      </c>
      <c r="AB26" s="3">
        <f t="shared" si="15"/>
        <v>43339.48</v>
      </c>
      <c r="AC26" s="3">
        <f t="shared" si="15"/>
        <v>39054.03</v>
      </c>
      <c r="AD26" s="3">
        <f t="shared" si="15"/>
        <v>150.61</v>
      </c>
      <c r="AE26" s="3">
        <f t="shared" si="15"/>
        <v>32.18</v>
      </c>
      <c r="AF26" s="3">
        <f t="shared" si="15"/>
        <v>4134.84</v>
      </c>
      <c r="AG26" s="3">
        <f t="shared" si="15"/>
        <v>0</v>
      </c>
      <c r="AH26" s="3">
        <f t="shared" si="15"/>
        <v>452.9579708</v>
      </c>
      <c r="AI26" s="3">
        <f t="shared" si="15"/>
        <v>2.65639</v>
      </c>
      <c r="AJ26" s="3">
        <f t="shared" si="15"/>
        <v>0</v>
      </c>
      <c r="AK26" s="3">
        <f t="shared" si="15"/>
        <v>3847.36</v>
      </c>
      <c r="AL26" s="3">
        <f t="shared" si="15"/>
        <v>2028.13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49214.97</v>
      </c>
      <c r="AS26" s="3">
        <f t="shared" si="15"/>
        <v>49214.97</v>
      </c>
      <c r="AT26" s="3">
        <f t="shared" si="15"/>
        <v>0</v>
      </c>
      <c r="AU26" s="3">
        <f aca="true" t="shared" si="16" ref="AU26:BZ26">AU41</f>
        <v>0</v>
      </c>
      <c r="AV26" s="3">
        <f t="shared" si="16"/>
        <v>39054.03</v>
      </c>
      <c r="AW26" s="3">
        <f t="shared" si="16"/>
        <v>39054.03</v>
      </c>
      <c r="AX26" s="3">
        <f t="shared" si="16"/>
        <v>0</v>
      </c>
      <c r="AY26" s="3">
        <f t="shared" si="16"/>
        <v>39054.03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aca="true" t="shared" si="17" ref="CA26:DF26">CA41</f>
        <v>49214.97</v>
      </c>
      <c r="CB26" s="3">
        <f t="shared" si="17"/>
        <v>49214.97</v>
      </c>
      <c r="CC26" s="3">
        <f t="shared" si="17"/>
        <v>0</v>
      </c>
      <c r="CD26" s="3">
        <f t="shared" si="17"/>
        <v>0</v>
      </c>
      <c r="CE26" s="3">
        <f t="shared" si="17"/>
        <v>39054.03</v>
      </c>
      <c r="CF26" s="3">
        <f t="shared" si="17"/>
        <v>39054.03</v>
      </c>
      <c r="CG26" s="3">
        <f t="shared" si="17"/>
        <v>0</v>
      </c>
      <c r="CH26" s="3">
        <f t="shared" si="17"/>
        <v>39054.03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aca="true" t="shared" si="18" ref="DG26:EL26">DG41</f>
        <v>418832.76</v>
      </c>
      <c r="DH26" s="4">
        <f t="shared" si="18"/>
        <v>262443.05</v>
      </c>
      <c r="DI26" s="4">
        <f t="shared" si="18"/>
        <v>1994.53</v>
      </c>
      <c r="DJ26" s="4">
        <f t="shared" si="18"/>
        <v>1201.8</v>
      </c>
      <c r="DK26" s="4">
        <f t="shared" si="18"/>
        <v>154395.18</v>
      </c>
      <c r="DL26" s="4">
        <f t="shared" si="18"/>
        <v>0</v>
      </c>
      <c r="DM26" s="4">
        <f t="shared" si="18"/>
        <v>452.9579708</v>
      </c>
      <c r="DN26" s="4">
        <f t="shared" si="18"/>
        <v>2.65639</v>
      </c>
      <c r="DO26" s="4">
        <f t="shared" si="18"/>
        <v>0</v>
      </c>
      <c r="DP26" s="4">
        <f t="shared" si="18"/>
        <v>143660.9</v>
      </c>
      <c r="DQ26" s="4">
        <f t="shared" si="18"/>
        <v>75730.53</v>
      </c>
      <c r="DR26" s="4">
        <f t="shared" si="18"/>
        <v>0</v>
      </c>
      <c r="DS26" s="4">
        <f t="shared" si="18"/>
        <v>0</v>
      </c>
      <c r="DT26" s="4">
        <f t="shared" si="18"/>
        <v>418832.76</v>
      </c>
      <c r="DU26" s="4">
        <f t="shared" si="18"/>
        <v>262443.05</v>
      </c>
      <c r="DV26" s="4">
        <f t="shared" si="18"/>
        <v>1994.53</v>
      </c>
      <c r="DW26" s="4">
        <f t="shared" si="18"/>
        <v>1201.8</v>
      </c>
      <c r="DX26" s="4">
        <f t="shared" si="18"/>
        <v>154395.18</v>
      </c>
      <c r="DY26" s="4">
        <f t="shared" si="18"/>
        <v>0</v>
      </c>
      <c r="DZ26" s="4">
        <f t="shared" si="18"/>
        <v>452.9579708</v>
      </c>
      <c r="EA26" s="4">
        <f t="shared" si="18"/>
        <v>2.65639</v>
      </c>
      <c r="EB26" s="4">
        <f t="shared" si="18"/>
        <v>0</v>
      </c>
      <c r="EC26" s="4">
        <f t="shared" si="18"/>
        <v>143660.9</v>
      </c>
      <c r="ED26" s="4">
        <f t="shared" si="18"/>
        <v>75730.53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638224.19</v>
      </c>
      <c r="EK26" s="4">
        <f t="shared" si="18"/>
        <v>638224.19</v>
      </c>
      <c r="EL26" s="4">
        <f t="shared" si="18"/>
        <v>0</v>
      </c>
      <c r="EM26" s="4">
        <f aca="true" t="shared" si="19" ref="EM26:FR26">EM41</f>
        <v>0</v>
      </c>
      <c r="EN26" s="4">
        <f t="shared" si="19"/>
        <v>262443.05</v>
      </c>
      <c r="EO26" s="4">
        <f t="shared" si="19"/>
        <v>262443.05</v>
      </c>
      <c r="EP26" s="4">
        <f t="shared" si="19"/>
        <v>0</v>
      </c>
      <c r="EQ26" s="4">
        <f t="shared" si="19"/>
        <v>262443.05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aca="true" t="shared" si="20" ref="FS26:GX26">FS41</f>
        <v>638224.19</v>
      </c>
      <c r="FT26" s="4">
        <f t="shared" si="20"/>
        <v>638224.19</v>
      </c>
      <c r="FU26" s="4">
        <f t="shared" si="20"/>
        <v>0</v>
      </c>
      <c r="FV26" s="4">
        <f t="shared" si="20"/>
        <v>0</v>
      </c>
      <c r="FW26" s="4">
        <f t="shared" si="20"/>
        <v>262443.05</v>
      </c>
      <c r="FX26" s="4">
        <f t="shared" si="20"/>
        <v>262443.05</v>
      </c>
      <c r="FY26" s="4">
        <f t="shared" si="20"/>
        <v>0</v>
      </c>
      <c r="FZ26" s="4">
        <f t="shared" si="20"/>
        <v>262443.05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ht="12.75">
      <c r="A28" s="2">
        <v>17</v>
      </c>
      <c r="B28" s="2">
        <v>1</v>
      </c>
      <c r="C28" s="2">
        <f>ROW(SmtRes!A6)</f>
        <v>6</v>
      </c>
      <c r="D28" s="2">
        <f>ROW(EtalonRes!A6)</f>
        <v>6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ROUND(40/100,7)</f>
        <v>0.4</v>
      </c>
      <c r="J28" s="2">
        <v>0</v>
      </c>
      <c r="K28" s="2">
        <f>ROUND(40/100,7)</f>
        <v>0.4</v>
      </c>
      <c r="L28" s="2"/>
      <c r="M28" s="2"/>
      <c r="N28" s="2"/>
      <c r="O28" s="2">
        <f aca="true" t="shared" si="21" ref="O28:O39">ROUND(CP28,2)</f>
        <v>436.7</v>
      </c>
      <c r="P28" s="2">
        <f aca="true" t="shared" si="22" ref="P28:P39">ROUND(CQ28*I28,2)</f>
        <v>151.79</v>
      </c>
      <c r="Q28" s="2">
        <f aca="true" t="shared" si="23" ref="Q28:Q39">ROUND(CR28*I28,2)</f>
        <v>5.91</v>
      </c>
      <c r="R28" s="2">
        <f aca="true" t="shared" si="24" ref="R28:R39">ROUND(CS28*I28,2)</f>
        <v>1.04</v>
      </c>
      <c r="S28" s="2">
        <f aca="true" t="shared" si="25" ref="S28:S39">ROUND(CT28*I28,2)</f>
        <v>279</v>
      </c>
      <c r="T28" s="2">
        <f aca="true" t="shared" si="26" ref="T28:T39">ROUND(CU28*I28,2)</f>
        <v>0</v>
      </c>
      <c r="U28" s="2">
        <f aca="true" t="shared" si="27" ref="U28:U39">CV28*I28</f>
        <v>32.292</v>
      </c>
      <c r="V28" s="2">
        <f aca="true" t="shared" si="28" ref="V28:V39">CW28*I28</f>
        <v>0.09</v>
      </c>
      <c r="W28" s="2">
        <f aca="true" t="shared" si="29" ref="W28:W39">ROUND(CX28*I28,2)</f>
        <v>0</v>
      </c>
      <c r="X28" s="2">
        <f aca="true" t="shared" si="30" ref="X28:X39">ROUND(CY28,2)</f>
        <v>277.24</v>
      </c>
      <c r="Y28" s="2">
        <f aca="true" t="shared" si="31" ref="Y28:Y39">ROUND(CZ28,2)</f>
        <v>164.24</v>
      </c>
      <c r="Z28" s="2"/>
      <c r="AA28" s="2">
        <v>55670666</v>
      </c>
      <c r="AB28" s="2">
        <f aca="true" t="shared" si="32" ref="AB28:AB39">ROUND((AC28+AD28+AF28),2)</f>
        <v>1091.77</v>
      </c>
      <c r="AC28" s="2">
        <f aca="true" t="shared" si="33" ref="AC28:AC39">ROUND((ES28),2)</f>
        <v>379.47</v>
      </c>
      <c r="AD28" s="2">
        <f>ROUND(((((ET28*ROUND(1.25,7)))-((EU28*ROUND(1.25,7))))+AE28),2)</f>
        <v>14.79</v>
      </c>
      <c r="AE28" s="2">
        <f>ROUND(((EU28*ROUND(1.25,7))),2)</f>
        <v>2.61</v>
      </c>
      <c r="AF28" s="2">
        <f>ROUND(((EV28*ROUND(1.15,7))),2)</f>
        <v>697.51</v>
      </c>
      <c r="AG28" s="2">
        <f aca="true" t="shared" si="34" ref="AG28:AG39">ROUND((AP28),2)</f>
        <v>0</v>
      </c>
      <c r="AH28" s="2">
        <f>((EW28*ROUND(1.15,7)))</f>
        <v>80.73</v>
      </c>
      <c r="AI28" s="2">
        <f>((EX28*ROUND(1.25,7)))</f>
        <v>0.22499999999999998</v>
      </c>
      <c r="AJ28" s="2">
        <f aca="true" t="shared" si="35" ref="AJ28:AJ39">(AS28)</f>
        <v>0</v>
      </c>
      <c r="AK28" s="2">
        <v>997.83</v>
      </c>
      <c r="AL28" s="2">
        <v>379.47</v>
      </c>
      <c r="AM28" s="2">
        <v>11.83</v>
      </c>
      <c r="AN28" s="2">
        <v>2.09</v>
      </c>
      <c r="AO28" s="2">
        <v>606.53</v>
      </c>
      <c r="AP28" s="2">
        <v>0</v>
      </c>
      <c r="AQ28" s="2">
        <v>70.2</v>
      </c>
      <c r="AR28" s="2">
        <v>0.18</v>
      </c>
      <c r="AS28" s="2">
        <v>0</v>
      </c>
      <c r="AT28" s="2">
        <v>99</v>
      </c>
      <c r="AU28" s="2">
        <v>58.65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110</v>
      </c>
      <c r="CA28" s="2">
        <v>69</v>
      </c>
      <c r="CB28" s="2" t="s">
        <v>3</v>
      </c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285</v>
      </c>
      <c r="CO28" s="2">
        <v>0</v>
      </c>
      <c r="CP28" s="2">
        <f aca="true" t="shared" si="36" ref="CP28:CP39">(P28+Q28+S28)</f>
        <v>436.7</v>
      </c>
      <c r="CQ28" s="2">
        <f aca="true" t="shared" si="37" ref="CQ28:CQ39">AC28*BC28</f>
        <v>379.47</v>
      </c>
      <c r="CR28" s="2">
        <f>((((ET28*ROUND(1.25,7)))*BB28-((EU28*ROUND(1.25,7)))*BS28)+AE28*BS28)</f>
        <v>14.785</v>
      </c>
      <c r="CS28" s="2">
        <f aca="true" t="shared" si="38" ref="CS28:CS39">AE28*BS28</f>
        <v>2.61</v>
      </c>
      <c r="CT28" s="2">
        <f aca="true" t="shared" si="39" ref="CT28:CT39">AF28*BA28</f>
        <v>697.51</v>
      </c>
      <c r="CU28" s="2">
        <f aca="true" t="shared" si="40" ref="CU28:CU39">AG28</f>
        <v>0</v>
      </c>
      <c r="CV28" s="2">
        <f aca="true" t="shared" si="41" ref="CV28:CV39">AH28</f>
        <v>80.73</v>
      </c>
      <c r="CW28" s="2">
        <f aca="true" t="shared" si="42" ref="CW28:CW39">AI28</f>
        <v>0.22499999999999998</v>
      </c>
      <c r="CX28" s="2">
        <f aca="true" t="shared" si="43" ref="CX28:CX39">AJ28</f>
        <v>0</v>
      </c>
      <c r="CY28" s="2">
        <f aca="true" t="shared" si="44" ref="CY28:CY39">(((S28+R28)*AT28)/100)</f>
        <v>277.23960000000005</v>
      </c>
      <c r="CZ28" s="2">
        <f aca="true" t="shared" si="45" ref="CZ28:CZ39">(((S28+R28)*AU28)/100)</f>
        <v>164.24346000000003</v>
      </c>
      <c r="DA28" s="2"/>
      <c r="DB28" s="2"/>
      <c r="DC28" s="2" t="s">
        <v>3</v>
      </c>
      <c r="DD28" s="2" t="s">
        <v>3</v>
      </c>
      <c r="DE28" s="2" t="s">
        <v>31</v>
      </c>
      <c r="DF28" s="2" t="s">
        <v>31</v>
      </c>
      <c r="DG28" s="2" t="s">
        <v>32</v>
      </c>
      <c r="DH28" s="2" t="s">
        <v>3</v>
      </c>
      <c r="DI28" s="2" t="s">
        <v>32</v>
      </c>
      <c r="DJ28" s="2" t="s">
        <v>31</v>
      </c>
      <c r="DK28" s="2" t="s">
        <v>3</v>
      </c>
      <c r="DL28" s="2" t="s">
        <v>33</v>
      </c>
      <c r="DM28" s="2" t="s">
        <v>34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29</v>
      </c>
      <c r="DW28" s="2" t="s">
        <v>29</v>
      </c>
      <c r="DX28" s="2">
        <v>1</v>
      </c>
      <c r="DY28" s="2"/>
      <c r="DZ28" s="2" t="s">
        <v>3</v>
      </c>
      <c r="EA28" s="2" t="s">
        <v>3</v>
      </c>
      <c r="EB28" s="2" t="s">
        <v>3</v>
      </c>
      <c r="EC28" s="2" t="s">
        <v>3</v>
      </c>
      <c r="ED28" s="2"/>
      <c r="EE28" s="2">
        <v>55471657</v>
      </c>
      <c r="EF28" s="2">
        <v>2</v>
      </c>
      <c r="EG28" s="2" t="s">
        <v>35</v>
      </c>
      <c r="EH28" s="2">
        <v>8</v>
      </c>
      <c r="EI28" s="2" t="s">
        <v>36</v>
      </c>
      <c r="EJ28" s="2">
        <v>1</v>
      </c>
      <c r="EK28" s="2">
        <v>8001</v>
      </c>
      <c r="EL28" s="2" t="s">
        <v>36</v>
      </c>
      <c r="EM28" s="2" t="s">
        <v>37</v>
      </c>
      <c r="EN28" s="2"/>
      <c r="EO28" s="2" t="s">
        <v>38</v>
      </c>
      <c r="EP28" s="2"/>
      <c r="EQ28" s="2">
        <v>0</v>
      </c>
      <c r="ER28" s="2">
        <v>997.83</v>
      </c>
      <c r="ES28" s="2">
        <v>379.47</v>
      </c>
      <c r="ET28" s="2">
        <v>11.83</v>
      </c>
      <c r="EU28" s="2">
        <v>2.09</v>
      </c>
      <c r="EV28" s="2">
        <v>606.53</v>
      </c>
      <c r="EW28" s="2">
        <v>70.2</v>
      </c>
      <c r="EX28" s="2">
        <v>0.18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46" ref="FR28:FR39">ROUND(IF(AND(BH28=3,BI28=3),P28,0),2)</f>
        <v>0</v>
      </c>
      <c r="FS28" s="2">
        <v>0</v>
      </c>
      <c r="FT28" s="2"/>
      <c r="FU28" s="2"/>
      <c r="FV28" s="2"/>
      <c r="FW28" s="2"/>
      <c r="FX28" s="2">
        <v>99</v>
      </c>
      <c r="FY28" s="2">
        <v>58.65</v>
      </c>
      <c r="FZ28" s="2"/>
      <c r="GA28" s="2" t="s">
        <v>3</v>
      </c>
      <c r="GB28" s="2"/>
      <c r="GC28" s="2"/>
      <c r="GD28" s="2">
        <v>1</v>
      </c>
      <c r="GE28" s="2"/>
      <c r="GF28" s="2">
        <v>1642729560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aca="true" t="shared" si="47" ref="GL28:GL39">ROUND(IF(AND(BH28=3,BI28=3,FS28&lt;&gt;0),P28,0),2)</f>
        <v>0</v>
      </c>
      <c r="GM28" s="2">
        <f aca="true" t="shared" si="48" ref="GM28:GM39">ROUND(O28+X28+Y28,2)+GX28</f>
        <v>878.18</v>
      </c>
      <c r="GN28" s="2">
        <f aca="true" t="shared" si="49" ref="GN28:GN39">IF(OR(BI28=0,BI28=1),ROUND(O28+X28+Y28,2),0)</f>
        <v>878.18</v>
      </c>
      <c r="GO28" s="2">
        <f aca="true" t="shared" si="50" ref="GO28:GO39">IF(BI28=2,ROUND(O28+X28+Y28,2),0)</f>
        <v>0</v>
      </c>
      <c r="GP28" s="2">
        <f aca="true" t="shared" si="51" ref="GP28:GP39">IF(BI28=4,ROUND(O28+X28+Y28,2)+GX28,0)</f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aca="true" t="shared" si="52" ref="GV28:GV39">ROUND((GT28),2)</f>
        <v>0</v>
      </c>
      <c r="GW28" s="2">
        <v>1</v>
      </c>
      <c r="GX28" s="2">
        <f aca="true" t="shared" si="53" ref="GX28:GX39">ROUND(HC28*I28,2)</f>
        <v>0</v>
      </c>
      <c r="GY28" s="2"/>
      <c r="GZ28" s="2"/>
      <c r="HA28" s="2">
        <v>0</v>
      </c>
      <c r="HB28" s="2">
        <v>0</v>
      </c>
      <c r="HC28" s="2">
        <f aca="true" t="shared" si="54" ref="HC28:HC39">GV28*GW28</f>
        <v>0</v>
      </c>
      <c r="HD28" s="2"/>
      <c r="HE28" s="2" t="s">
        <v>3</v>
      </c>
      <c r="HF28" s="2" t="s">
        <v>3</v>
      </c>
      <c r="HG28" s="2"/>
      <c r="HH28" s="2"/>
      <c r="HI28" s="2"/>
      <c r="HJ28" s="2"/>
      <c r="HK28" s="2"/>
      <c r="HL28" s="2"/>
      <c r="HM28" s="2" t="s">
        <v>3</v>
      </c>
      <c r="HN28" s="2" t="s">
        <v>39</v>
      </c>
      <c r="HO28" s="2" t="s">
        <v>40</v>
      </c>
      <c r="HP28" s="2" t="s">
        <v>36</v>
      </c>
      <c r="HQ28" s="2" t="s">
        <v>36</v>
      </c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45" ht="12.75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26</v>
      </c>
      <c r="F29" t="s">
        <v>27</v>
      </c>
      <c r="G29" t="s">
        <v>28</v>
      </c>
      <c r="H29" t="s">
        <v>29</v>
      </c>
      <c r="I29">
        <f>ROUND(40/100,7)</f>
        <v>0.4</v>
      </c>
      <c r="J29">
        <v>0</v>
      </c>
      <c r="K29">
        <f>ROUND(40/100,7)</f>
        <v>0.4</v>
      </c>
      <c r="O29">
        <f t="shared" si="21"/>
        <v>11516.31</v>
      </c>
      <c r="P29">
        <f t="shared" si="22"/>
        <v>1020.02</v>
      </c>
      <c r="Q29">
        <f t="shared" si="23"/>
        <v>78.28</v>
      </c>
      <c r="R29">
        <f t="shared" si="24"/>
        <v>38.98</v>
      </c>
      <c r="S29">
        <f t="shared" si="25"/>
        <v>10418.01</v>
      </c>
      <c r="T29">
        <f t="shared" si="26"/>
        <v>0</v>
      </c>
      <c r="U29">
        <f t="shared" si="27"/>
        <v>32.292</v>
      </c>
      <c r="V29">
        <f t="shared" si="28"/>
        <v>0.09</v>
      </c>
      <c r="W29">
        <f t="shared" si="29"/>
        <v>0</v>
      </c>
      <c r="X29">
        <f t="shared" si="30"/>
        <v>10352.42</v>
      </c>
      <c r="Y29">
        <f t="shared" si="31"/>
        <v>6133.02</v>
      </c>
      <c r="AA29">
        <v>55671155</v>
      </c>
      <c r="AB29">
        <f t="shared" si="32"/>
        <v>1091.77</v>
      </c>
      <c r="AC29">
        <f t="shared" si="33"/>
        <v>379.47</v>
      </c>
      <c r="AD29">
        <f>ROUND(((((ET29*ROUND(1.25,7)))-((EU29*ROUND(1.25,7))))+AE29),2)</f>
        <v>14.79</v>
      </c>
      <c r="AE29">
        <f>ROUND(((EU29*ROUND(1.25,7))),2)</f>
        <v>2.61</v>
      </c>
      <c r="AF29">
        <f>ROUND(((EV29*ROUND(1.15,7))),2)</f>
        <v>697.51</v>
      </c>
      <c r="AG29">
        <f t="shared" si="34"/>
        <v>0</v>
      </c>
      <c r="AH29">
        <f>((EW29*ROUND(1.15,7)))</f>
        <v>80.73</v>
      </c>
      <c r="AI29">
        <f>((EX29*ROUND(1.25,7)))</f>
        <v>0.22499999999999998</v>
      </c>
      <c r="AJ29">
        <f t="shared" si="35"/>
        <v>0</v>
      </c>
      <c r="AK29">
        <v>997.83</v>
      </c>
      <c r="AL29">
        <v>379.47</v>
      </c>
      <c r="AM29">
        <v>11.83</v>
      </c>
      <c r="AN29">
        <v>2.09</v>
      </c>
      <c r="AO29">
        <v>606.53</v>
      </c>
      <c r="AP29">
        <v>0</v>
      </c>
      <c r="AQ29">
        <v>70.2</v>
      </c>
      <c r="AR29">
        <v>0.18</v>
      </c>
      <c r="AS29">
        <v>0</v>
      </c>
      <c r="AT29">
        <v>99</v>
      </c>
      <c r="AU29">
        <v>58.65</v>
      </c>
      <c r="AV29">
        <v>1</v>
      </c>
      <c r="AW29">
        <v>1</v>
      </c>
      <c r="AZ29">
        <v>1</v>
      </c>
      <c r="BA29">
        <v>37.34</v>
      </c>
      <c r="BB29">
        <v>13.24</v>
      </c>
      <c r="BC29">
        <v>6.72</v>
      </c>
      <c r="BH29">
        <v>0</v>
      </c>
      <c r="BI29">
        <v>1</v>
      </c>
      <c r="BJ29" t="s">
        <v>30</v>
      </c>
      <c r="BM29">
        <v>8001</v>
      </c>
      <c r="BN29">
        <v>0</v>
      </c>
      <c r="BO29" t="s">
        <v>41</v>
      </c>
      <c r="BP29">
        <v>1</v>
      </c>
      <c r="BQ29">
        <v>2</v>
      </c>
      <c r="BR29">
        <v>0</v>
      </c>
      <c r="BS29">
        <v>37.34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110</v>
      </c>
      <c r="CA29">
        <v>69</v>
      </c>
      <c r="CE29">
        <v>0</v>
      </c>
      <c r="CF29">
        <v>0</v>
      </c>
      <c r="CG29">
        <v>0</v>
      </c>
      <c r="CM29">
        <v>0</v>
      </c>
      <c r="CN29" t="s">
        <v>285</v>
      </c>
      <c r="CO29">
        <v>0</v>
      </c>
      <c r="CP29">
        <f t="shared" si="36"/>
        <v>11516.31</v>
      </c>
      <c r="CQ29">
        <f t="shared" si="37"/>
        <v>2550.0384</v>
      </c>
      <c r="CR29">
        <f>((((ET29*ROUND(1.25,7)))*BB29-((EU29*ROUND(1.25,7)))*BS29)+AE29*BS29)</f>
        <v>195.69315</v>
      </c>
      <c r="CS29">
        <f t="shared" si="38"/>
        <v>97.4574</v>
      </c>
      <c r="CT29">
        <f t="shared" si="39"/>
        <v>26045.023400000002</v>
      </c>
      <c r="CU29">
        <f t="shared" si="40"/>
        <v>0</v>
      </c>
      <c r="CV29">
        <f t="shared" si="41"/>
        <v>80.73</v>
      </c>
      <c r="CW29">
        <f t="shared" si="42"/>
        <v>0.22499999999999998</v>
      </c>
      <c r="CX29">
        <f t="shared" si="43"/>
        <v>0</v>
      </c>
      <c r="CY29">
        <f t="shared" si="44"/>
        <v>10352.4201</v>
      </c>
      <c r="CZ29">
        <f t="shared" si="45"/>
        <v>6133.024635</v>
      </c>
      <c r="DE29" t="s">
        <v>31</v>
      </c>
      <c r="DF29" t="s">
        <v>31</v>
      </c>
      <c r="DG29" t="s">
        <v>32</v>
      </c>
      <c r="DI29" t="s">
        <v>32</v>
      </c>
      <c r="DJ29" t="s">
        <v>31</v>
      </c>
      <c r="DL29" t="s">
        <v>33</v>
      </c>
      <c r="DM29" t="s">
        <v>34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29</v>
      </c>
      <c r="DW29" t="s">
        <v>29</v>
      </c>
      <c r="DX29">
        <v>1</v>
      </c>
      <c r="EE29">
        <v>55471657</v>
      </c>
      <c r="EF29">
        <v>2</v>
      </c>
      <c r="EG29" t="s">
        <v>35</v>
      </c>
      <c r="EH29">
        <v>8</v>
      </c>
      <c r="EI29" t="s">
        <v>36</v>
      </c>
      <c r="EJ29">
        <v>1</v>
      </c>
      <c r="EK29">
        <v>8001</v>
      </c>
      <c r="EL29" t="s">
        <v>36</v>
      </c>
      <c r="EM29" t="s">
        <v>37</v>
      </c>
      <c r="EO29" t="s">
        <v>38</v>
      </c>
      <c r="EQ29">
        <v>0</v>
      </c>
      <c r="ER29">
        <v>997.83</v>
      </c>
      <c r="ES29">
        <v>379.47</v>
      </c>
      <c r="ET29">
        <v>11.83</v>
      </c>
      <c r="EU29">
        <v>2.09</v>
      </c>
      <c r="EV29">
        <v>606.53</v>
      </c>
      <c r="EW29">
        <v>70.2</v>
      </c>
      <c r="EX29">
        <v>0.18</v>
      </c>
      <c r="EY29">
        <v>0</v>
      </c>
      <c r="FQ29">
        <v>0</v>
      </c>
      <c r="FR29">
        <f t="shared" si="46"/>
        <v>0</v>
      </c>
      <c r="FS29">
        <v>0</v>
      </c>
      <c r="FX29">
        <v>99</v>
      </c>
      <c r="FY29">
        <v>58.65</v>
      </c>
      <c r="GD29">
        <v>1</v>
      </c>
      <c r="GF29">
        <v>1642729560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47"/>
        <v>0</v>
      </c>
      <c r="GM29">
        <f t="shared" si="48"/>
        <v>28001.75</v>
      </c>
      <c r="GN29">
        <f t="shared" si="49"/>
        <v>28001.75</v>
      </c>
      <c r="GO29">
        <f t="shared" si="50"/>
        <v>0</v>
      </c>
      <c r="GP29">
        <f t="shared" si="51"/>
        <v>0</v>
      </c>
      <c r="GR29">
        <v>0</v>
      </c>
      <c r="GS29">
        <v>0</v>
      </c>
      <c r="GT29">
        <v>0</v>
      </c>
      <c r="GV29">
        <f t="shared" si="52"/>
        <v>0</v>
      </c>
      <c r="GW29">
        <v>1</v>
      </c>
      <c r="GX29">
        <f t="shared" si="53"/>
        <v>0</v>
      </c>
      <c r="HA29">
        <v>0</v>
      </c>
      <c r="HB29">
        <v>0</v>
      </c>
      <c r="HC29">
        <f t="shared" si="54"/>
        <v>0</v>
      </c>
      <c r="HN29" t="s">
        <v>39</v>
      </c>
      <c r="HO29" t="s">
        <v>40</v>
      </c>
      <c r="HP29" t="s">
        <v>36</v>
      </c>
      <c r="HQ29" t="s">
        <v>36</v>
      </c>
      <c r="IK29">
        <v>0</v>
      </c>
    </row>
    <row r="30" spans="1:255" ht="12.75">
      <c r="A30" s="2">
        <v>17</v>
      </c>
      <c r="B30" s="2">
        <v>1</v>
      </c>
      <c r="C30" s="2">
        <f>ROW(SmtRes!A21)</f>
        <v>21</v>
      </c>
      <c r="D30" s="2">
        <f>ROW(EtalonRes!A20)</f>
        <v>20</v>
      </c>
      <c r="E30" s="2" t="s">
        <v>42</v>
      </c>
      <c r="F30" s="2" t="s">
        <v>43</v>
      </c>
      <c r="G30" s="2" t="s">
        <v>44</v>
      </c>
      <c r="H30" s="2" t="s">
        <v>45</v>
      </c>
      <c r="I30" s="2">
        <f>ROUND(278.16/100,7)</f>
        <v>2.7816</v>
      </c>
      <c r="J30" s="2">
        <v>0</v>
      </c>
      <c r="K30" s="2">
        <f>ROUND(278.16/100,7)</f>
        <v>2.7816</v>
      </c>
      <c r="L30" s="2"/>
      <c r="M30" s="2"/>
      <c r="N30" s="2"/>
      <c r="O30" s="2">
        <f t="shared" si="21"/>
        <v>5918.24</v>
      </c>
      <c r="P30" s="2">
        <f t="shared" si="22"/>
        <v>2480.16</v>
      </c>
      <c r="Q30" s="2">
        <f t="shared" si="23"/>
        <v>67.45</v>
      </c>
      <c r="R30" s="2">
        <f t="shared" si="24"/>
        <v>17.47</v>
      </c>
      <c r="S30" s="2">
        <f t="shared" si="25"/>
        <v>3370.63</v>
      </c>
      <c r="T30" s="2">
        <f t="shared" si="26"/>
        <v>0</v>
      </c>
      <c r="U30" s="2">
        <f t="shared" si="27"/>
        <v>367.1712</v>
      </c>
      <c r="V30" s="2">
        <f t="shared" si="28"/>
        <v>1.3908</v>
      </c>
      <c r="W30" s="2">
        <f t="shared" si="29"/>
        <v>0</v>
      </c>
      <c r="X30" s="2">
        <f t="shared" si="30"/>
        <v>3049.29</v>
      </c>
      <c r="Y30" s="2">
        <f t="shared" si="31"/>
        <v>1524.65</v>
      </c>
      <c r="Z30" s="2"/>
      <c r="AA30" s="2">
        <v>55670666</v>
      </c>
      <c r="AB30" s="2">
        <f t="shared" si="32"/>
        <v>2127.64</v>
      </c>
      <c r="AC30" s="2">
        <f t="shared" si="33"/>
        <v>891.63</v>
      </c>
      <c r="AD30" s="2">
        <f aca="true" t="shared" si="55" ref="AD30:AD37">ROUND((((ET30)-(EU30))+AE30),2)</f>
        <v>24.25</v>
      </c>
      <c r="AE30" s="2">
        <f aca="true" t="shared" si="56" ref="AE30:AF37">ROUND((EU30),2)</f>
        <v>6.28</v>
      </c>
      <c r="AF30" s="2">
        <f t="shared" si="56"/>
        <v>1211.76</v>
      </c>
      <c r="AG30" s="2">
        <f t="shared" si="34"/>
        <v>0</v>
      </c>
      <c r="AH30" s="2">
        <f aca="true" t="shared" si="57" ref="AH30:AI37">(EW30)</f>
        <v>132</v>
      </c>
      <c r="AI30" s="2">
        <f t="shared" si="57"/>
        <v>0.5</v>
      </c>
      <c r="AJ30" s="2">
        <f t="shared" si="35"/>
        <v>0</v>
      </c>
      <c r="AK30" s="2">
        <v>2127.64</v>
      </c>
      <c r="AL30" s="2">
        <v>891.63</v>
      </c>
      <c r="AM30" s="2">
        <v>24.25</v>
      </c>
      <c r="AN30" s="2">
        <v>6.28</v>
      </c>
      <c r="AO30" s="2">
        <v>1211.76</v>
      </c>
      <c r="AP30" s="2">
        <v>0</v>
      </c>
      <c r="AQ30" s="2">
        <v>132</v>
      </c>
      <c r="AR30" s="2">
        <v>0.5</v>
      </c>
      <c r="AS30" s="2">
        <v>0</v>
      </c>
      <c r="AT30" s="2">
        <v>90</v>
      </c>
      <c r="AU30" s="2">
        <v>45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46</v>
      </c>
      <c r="BK30" s="2"/>
      <c r="BL30" s="2"/>
      <c r="BM30" s="2">
        <v>63001</v>
      </c>
      <c r="BN30" s="2">
        <v>0</v>
      </c>
      <c r="BO30" s="2" t="s">
        <v>3</v>
      </c>
      <c r="BP30" s="2">
        <v>0</v>
      </c>
      <c r="BQ30" s="2">
        <v>6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90</v>
      </c>
      <c r="CA30" s="2">
        <v>45</v>
      </c>
      <c r="CB30" s="2" t="s">
        <v>3</v>
      </c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6"/>
        <v>5918.24</v>
      </c>
      <c r="CQ30" s="2">
        <f t="shared" si="37"/>
        <v>891.63</v>
      </c>
      <c r="CR30" s="2">
        <f aca="true" t="shared" si="58" ref="CR30:CR37">(((ET30)*BB30-(EU30)*BS30)+AE30*BS30)</f>
        <v>24.25</v>
      </c>
      <c r="CS30" s="2">
        <f t="shared" si="38"/>
        <v>6.28</v>
      </c>
      <c r="CT30" s="2">
        <f t="shared" si="39"/>
        <v>1211.76</v>
      </c>
      <c r="CU30" s="2">
        <f t="shared" si="40"/>
        <v>0</v>
      </c>
      <c r="CV30" s="2">
        <f t="shared" si="41"/>
        <v>132</v>
      </c>
      <c r="CW30" s="2">
        <f t="shared" si="42"/>
        <v>0.5</v>
      </c>
      <c r="CX30" s="2">
        <f t="shared" si="43"/>
        <v>0</v>
      </c>
      <c r="CY30" s="2">
        <f t="shared" si="44"/>
        <v>3049.29</v>
      </c>
      <c r="CZ30" s="2">
        <f t="shared" si="45"/>
        <v>1524.645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1005</v>
      </c>
      <c r="DV30" s="2" t="s">
        <v>45</v>
      </c>
      <c r="DW30" s="2" t="s">
        <v>45</v>
      </c>
      <c r="DX30" s="2">
        <v>100</v>
      </c>
      <c r="DY30" s="2"/>
      <c r="DZ30" s="2" t="s">
        <v>3</v>
      </c>
      <c r="EA30" s="2" t="s">
        <v>3</v>
      </c>
      <c r="EB30" s="2" t="s">
        <v>3</v>
      </c>
      <c r="EC30" s="2" t="s">
        <v>3</v>
      </c>
      <c r="ED30" s="2"/>
      <c r="EE30" s="2">
        <v>55471797</v>
      </c>
      <c r="EF30" s="2">
        <v>6</v>
      </c>
      <c r="EG30" s="2" t="s">
        <v>47</v>
      </c>
      <c r="EH30" s="2">
        <v>97</v>
      </c>
      <c r="EI30" s="2" t="s">
        <v>48</v>
      </c>
      <c r="EJ30" s="2">
        <v>1</v>
      </c>
      <c r="EK30" s="2">
        <v>63001</v>
      </c>
      <c r="EL30" s="2" t="s">
        <v>49</v>
      </c>
      <c r="EM30" s="2" t="s">
        <v>50</v>
      </c>
      <c r="EN30" s="2"/>
      <c r="EO30" s="2" t="s">
        <v>3</v>
      </c>
      <c r="EP30" s="2"/>
      <c r="EQ30" s="2">
        <v>0</v>
      </c>
      <c r="ER30" s="2">
        <v>2127.64</v>
      </c>
      <c r="ES30" s="2">
        <v>891.63</v>
      </c>
      <c r="ET30" s="2">
        <v>24.25</v>
      </c>
      <c r="EU30" s="2">
        <v>6.28</v>
      </c>
      <c r="EV30" s="2">
        <v>1211.76</v>
      </c>
      <c r="EW30" s="2">
        <v>132</v>
      </c>
      <c r="EX30" s="2">
        <v>0.5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6"/>
        <v>0</v>
      </c>
      <c r="FS30" s="2">
        <v>0</v>
      </c>
      <c r="FT30" s="2"/>
      <c r="FU30" s="2"/>
      <c r="FV30" s="2"/>
      <c r="FW30" s="2"/>
      <c r="FX30" s="2">
        <v>90</v>
      </c>
      <c r="FY30" s="2">
        <v>45</v>
      </c>
      <c r="FZ30" s="2"/>
      <c r="GA30" s="2" t="s">
        <v>3</v>
      </c>
      <c r="GB30" s="2"/>
      <c r="GC30" s="2"/>
      <c r="GD30" s="2">
        <v>1</v>
      </c>
      <c r="GE30" s="2"/>
      <c r="GF30" s="2">
        <v>-1897371467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7"/>
        <v>0</v>
      </c>
      <c r="GM30" s="2">
        <f t="shared" si="48"/>
        <v>10492.18</v>
      </c>
      <c r="GN30" s="2">
        <f t="shared" si="49"/>
        <v>10492.18</v>
      </c>
      <c r="GO30" s="2">
        <f t="shared" si="50"/>
        <v>0</v>
      </c>
      <c r="GP30" s="2">
        <f t="shared" si="51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2"/>
        <v>0</v>
      </c>
      <c r="GW30" s="2">
        <v>1</v>
      </c>
      <c r="GX30" s="2">
        <f t="shared" si="53"/>
        <v>0</v>
      </c>
      <c r="GY30" s="2"/>
      <c r="GZ30" s="2"/>
      <c r="HA30" s="2">
        <v>0</v>
      </c>
      <c r="HB30" s="2">
        <v>0</v>
      </c>
      <c r="HC30" s="2">
        <f t="shared" si="54"/>
        <v>0</v>
      </c>
      <c r="HD30" s="2"/>
      <c r="HE30" s="2" t="s">
        <v>3</v>
      </c>
      <c r="HF30" s="2" t="s">
        <v>3</v>
      </c>
      <c r="HG30" s="2"/>
      <c r="HH30" s="2"/>
      <c r="HI30" s="2"/>
      <c r="HJ30" s="2"/>
      <c r="HK30" s="2"/>
      <c r="HL30" s="2"/>
      <c r="HM30" s="2" t="s">
        <v>3</v>
      </c>
      <c r="HN30" s="2" t="s">
        <v>51</v>
      </c>
      <c r="HO30" s="2" t="s">
        <v>52</v>
      </c>
      <c r="HP30" s="2" t="s">
        <v>49</v>
      </c>
      <c r="HQ30" s="2" t="s">
        <v>49</v>
      </c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45" ht="12.75">
      <c r="A31">
        <v>17</v>
      </c>
      <c r="B31">
        <v>1</v>
      </c>
      <c r="C31">
        <f>ROW(SmtRes!A30)</f>
        <v>30</v>
      </c>
      <c r="D31">
        <f>ROW(EtalonRes!A28)</f>
        <v>28</v>
      </c>
      <c r="E31" t="s">
        <v>42</v>
      </c>
      <c r="F31" t="s">
        <v>43</v>
      </c>
      <c r="G31" t="s">
        <v>44</v>
      </c>
      <c r="H31" t="s">
        <v>45</v>
      </c>
      <c r="I31">
        <f>ROUND(278.16/100,7)</f>
        <v>2.7816</v>
      </c>
      <c r="J31">
        <v>0</v>
      </c>
      <c r="K31">
        <f>ROUND(278.16/100,7)</f>
        <v>2.7816</v>
      </c>
      <c r="O31">
        <f t="shared" si="21"/>
        <v>143419.13</v>
      </c>
      <c r="P31">
        <f t="shared" si="22"/>
        <v>16666.66</v>
      </c>
      <c r="Q31">
        <f t="shared" si="23"/>
        <v>893.09</v>
      </c>
      <c r="R31">
        <f t="shared" si="24"/>
        <v>652.27</v>
      </c>
      <c r="S31">
        <f t="shared" si="25"/>
        <v>125859.38</v>
      </c>
      <c r="T31">
        <f t="shared" si="26"/>
        <v>0</v>
      </c>
      <c r="U31">
        <f t="shared" si="27"/>
        <v>367.1712</v>
      </c>
      <c r="V31">
        <f t="shared" si="28"/>
        <v>1.3908</v>
      </c>
      <c r="W31">
        <f t="shared" si="29"/>
        <v>0</v>
      </c>
      <c r="X31">
        <f t="shared" si="30"/>
        <v>113860.49</v>
      </c>
      <c r="Y31">
        <f t="shared" si="31"/>
        <v>56930.24</v>
      </c>
      <c r="AA31">
        <v>55671155</v>
      </c>
      <c r="AB31">
        <f t="shared" si="32"/>
        <v>2127.64</v>
      </c>
      <c r="AC31">
        <f t="shared" si="33"/>
        <v>891.63</v>
      </c>
      <c r="AD31">
        <f t="shared" si="55"/>
        <v>24.25</v>
      </c>
      <c r="AE31">
        <f t="shared" si="56"/>
        <v>6.28</v>
      </c>
      <c r="AF31">
        <f t="shared" si="56"/>
        <v>1211.76</v>
      </c>
      <c r="AG31">
        <f t="shared" si="34"/>
        <v>0</v>
      </c>
      <c r="AH31">
        <f t="shared" si="57"/>
        <v>132</v>
      </c>
      <c r="AI31">
        <f t="shared" si="57"/>
        <v>0.5</v>
      </c>
      <c r="AJ31">
        <f t="shared" si="35"/>
        <v>0</v>
      </c>
      <c r="AK31">
        <v>2127.64</v>
      </c>
      <c r="AL31">
        <v>891.63</v>
      </c>
      <c r="AM31">
        <v>24.25</v>
      </c>
      <c r="AN31">
        <v>6.28</v>
      </c>
      <c r="AO31">
        <v>1211.76</v>
      </c>
      <c r="AP31">
        <v>0</v>
      </c>
      <c r="AQ31">
        <v>132</v>
      </c>
      <c r="AR31">
        <v>0.5</v>
      </c>
      <c r="AS31">
        <v>0</v>
      </c>
      <c r="AT31">
        <v>90</v>
      </c>
      <c r="AU31">
        <v>45</v>
      </c>
      <c r="AV31">
        <v>1</v>
      </c>
      <c r="AW31">
        <v>1</v>
      </c>
      <c r="AZ31">
        <v>1</v>
      </c>
      <c r="BA31">
        <v>37.34</v>
      </c>
      <c r="BB31">
        <v>13.24</v>
      </c>
      <c r="BC31">
        <v>6.72</v>
      </c>
      <c r="BH31">
        <v>0</v>
      </c>
      <c r="BI31">
        <v>1</v>
      </c>
      <c r="BJ31" t="s">
        <v>46</v>
      </c>
      <c r="BM31">
        <v>63001</v>
      </c>
      <c r="BN31">
        <v>0</v>
      </c>
      <c r="BO31" t="s">
        <v>41</v>
      </c>
      <c r="BP31">
        <v>1</v>
      </c>
      <c r="BQ31">
        <v>6</v>
      </c>
      <c r="BR31">
        <v>0</v>
      </c>
      <c r="BS31">
        <v>37.34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90</v>
      </c>
      <c r="CA31">
        <v>45</v>
      </c>
      <c r="CE31">
        <v>0</v>
      </c>
      <c r="CF31">
        <v>0</v>
      </c>
      <c r="CG31">
        <v>0</v>
      </c>
      <c r="CM31">
        <v>0</v>
      </c>
      <c r="CO31">
        <v>0</v>
      </c>
      <c r="CP31">
        <f t="shared" si="36"/>
        <v>143419.13</v>
      </c>
      <c r="CQ31">
        <f t="shared" si="37"/>
        <v>5991.7536</v>
      </c>
      <c r="CR31">
        <f t="shared" si="58"/>
        <v>321.07</v>
      </c>
      <c r="CS31">
        <f t="shared" si="38"/>
        <v>234.49520000000004</v>
      </c>
      <c r="CT31">
        <f t="shared" si="39"/>
        <v>45247.11840000001</v>
      </c>
      <c r="CU31">
        <f t="shared" si="40"/>
        <v>0</v>
      </c>
      <c r="CV31">
        <f t="shared" si="41"/>
        <v>132</v>
      </c>
      <c r="CW31">
        <f t="shared" si="42"/>
        <v>0.5</v>
      </c>
      <c r="CX31">
        <f t="shared" si="43"/>
        <v>0</v>
      </c>
      <c r="CY31">
        <f t="shared" si="44"/>
        <v>113860.485</v>
      </c>
      <c r="CZ31">
        <f t="shared" si="45"/>
        <v>56930.2425</v>
      </c>
      <c r="DN31">
        <v>0</v>
      </c>
      <c r="DO31">
        <v>0</v>
      </c>
      <c r="DP31">
        <v>1</v>
      </c>
      <c r="DQ31">
        <v>1</v>
      </c>
      <c r="DU31">
        <v>1005</v>
      </c>
      <c r="DV31" t="s">
        <v>45</v>
      </c>
      <c r="DW31" t="s">
        <v>45</v>
      </c>
      <c r="DX31">
        <v>100</v>
      </c>
      <c r="EE31">
        <v>55471797</v>
      </c>
      <c r="EF31">
        <v>6</v>
      </c>
      <c r="EG31" t="s">
        <v>47</v>
      </c>
      <c r="EH31">
        <v>97</v>
      </c>
      <c r="EI31" t="s">
        <v>48</v>
      </c>
      <c r="EJ31">
        <v>1</v>
      </c>
      <c r="EK31">
        <v>63001</v>
      </c>
      <c r="EL31" t="s">
        <v>49</v>
      </c>
      <c r="EM31" t="s">
        <v>50</v>
      </c>
      <c r="EQ31">
        <v>0</v>
      </c>
      <c r="ER31">
        <v>2127.64</v>
      </c>
      <c r="ES31">
        <v>891.63</v>
      </c>
      <c r="ET31">
        <v>24.25</v>
      </c>
      <c r="EU31">
        <v>6.28</v>
      </c>
      <c r="EV31">
        <v>1211.76</v>
      </c>
      <c r="EW31">
        <v>132</v>
      </c>
      <c r="EX31">
        <v>0.5</v>
      </c>
      <c r="EY31">
        <v>0</v>
      </c>
      <c r="FQ31">
        <v>0</v>
      </c>
      <c r="FR31">
        <f t="shared" si="46"/>
        <v>0</v>
      </c>
      <c r="FS31">
        <v>0</v>
      </c>
      <c r="FX31">
        <v>90</v>
      </c>
      <c r="FY31">
        <v>45</v>
      </c>
      <c r="GD31">
        <v>1</v>
      </c>
      <c r="GF31">
        <v>-1897371467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7"/>
        <v>0</v>
      </c>
      <c r="GM31">
        <f t="shared" si="48"/>
        <v>314209.86</v>
      </c>
      <c r="GN31">
        <f t="shared" si="49"/>
        <v>314209.86</v>
      </c>
      <c r="GO31">
        <f t="shared" si="50"/>
        <v>0</v>
      </c>
      <c r="GP31">
        <f t="shared" si="51"/>
        <v>0</v>
      </c>
      <c r="GR31">
        <v>0</v>
      </c>
      <c r="GS31">
        <v>0</v>
      </c>
      <c r="GT31">
        <v>0</v>
      </c>
      <c r="GV31">
        <f t="shared" si="52"/>
        <v>0</v>
      </c>
      <c r="GW31">
        <v>1</v>
      </c>
      <c r="GX31">
        <f t="shared" si="53"/>
        <v>0</v>
      </c>
      <c r="HA31">
        <v>0</v>
      </c>
      <c r="HB31">
        <v>0</v>
      </c>
      <c r="HC31">
        <f t="shared" si="54"/>
        <v>0</v>
      </c>
      <c r="HN31" t="s">
        <v>51</v>
      </c>
      <c r="HO31" t="s">
        <v>52</v>
      </c>
      <c r="HP31" t="s">
        <v>49</v>
      </c>
      <c r="HQ31" t="s">
        <v>49</v>
      </c>
      <c r="IK31">
        <v>0</v>
      </c>
    </row>
    <row r="32" spans="1:255" ht="12.75">
      <c r="A32" s="2">
        <v>18</v>
      </c>
      <c r="B32" s="2">
        <v>1</v>
      </c>
      <c r="C32" s="2">
        <v>19</v>
      </c>
      <c r="D32" s="2"/>
      <c r="E32" s="2" t="s">
        <v>53</v>
      </c>
      <c r="F32" s="2" t="s">
        <v>54</v>
      </c>
      <c r="G32" s="2" t="s">
        <v>55</v>
      </c>
      <c r="H32" s="2" t="s">
        <v>56</v>
      </c>
      <c r="I32" s="2">
        <f>I30*J32</f>
        <v>57.68</v>
      </c>
      <c r="J32" s="2">
        <v>20.73626689675007</v>
      </c>
      <c r="K32" s="2">
        <v>20.736267</v>
      </c>
      <c r="L32" s="2"/>
      <c r="M32" s="2"/>
      <c r="N32" s="2"/>
      <c r="O32" s="2">
        <f t="shared" si="21"/>
        <v>3268.73</v>
      </c>
      <c r="P32" s="2">
        <f t="shared" si="22"/>
        <v>3268.73</v>
      </c>
      <c r="Q32" s="2">
        <f t="shared" si="23"/>
        <v>0</v>
      </c>
      <c r="R32" s="2">
        <f t="shared" si="24"/>
        <v>0</v>
      </c>
      <c r="S32" s="2">
        <f t="shared" si="25"/>
        <v>0</v>
      </c>
      <c r="T32" s="2">
        <f t="shared" si="26"/>
        <v>0</v>
      </c>
      <c r="U32" s="2">
        <f t="shared" si="27"/>
        <v>0</v>
      </c>
      <c r="V32" s="2">
        <f t="shared" si="28"/>
        <v>0</v>
      </c>
      <c r="W32" s="2">
        <f t="shared" si="29"/>
        <v>0</v>
      </c>
      <c r="X32" s="2">
        <f t="shared" si="30"/>
        <v>0</v>
      </c>
      <c r="Y32" s="2">
        <f t="shared" si="31"/>
        <v>0</v>
      </c>
      <c r="Z32" s="2"/>
      <c r="AA32" s="2">
        <v>55670666</v>
      </c>
      <c r="AB32" s="2">
        <f t="shared" si="32"/>
        <v>56.67</v>
      </c>
      <c r="AC32" s="2">
        <f t="shared" si="33"/>
        <v>56.67</v>
      </c>
      <c r="AD32" s="2">
        <f t="shared" si="55"/>
        <v>0</v>
      </c>
      <c r="AE32" s="2">
        <f t="shared" si="56"/>
        <v>0</v>
      </c>
      <c r="AF32" s="2">
        <f t="shared" si="56"/>
        <v>0</v>
      </c>
      <c r="AG32" s="2">
        <f t="shared" si="34"/>
        <v>0</v>
      </c>
      <c r="AH32" s="2">
        <f t="shared" si="57"/>
        <v>0</v>
      </c>
      <c r="AI32" s="2">
        <f t="shared" si="57"/>
        <v>0</v>
      </c>
      <c r="AJ32" s="2">
        <f t="shared" si="35"/>
        <v>0</v>
      </c>
      <c r="AK32" s="2">
        <v>56.67</v>
      </c>
      <c r="AL32" s="2">
        <v>56.67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90</v>
      </c>
      <c r="AU32" s="2">
        <v>45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57</v>
      </c>
      <c r="BK32" s="2"/>
      <c r="BL32" s="2"/>
      <c r="BM32" s="2">
        <v>63001</v>
      </c>
      <c r="BN32" s="2">
        <v>0</v>
      </c>
      <c r="BO32" s="2" t="s">
        <v>3</v>
      </c>
      <c r="BP32" s="2">
        <v>0</v>
      </c>
      <c r="BQ32" s="2">
        <v>6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90</v>
      </c>
      <c r="CA32" s="2">
        <v>45</v>
      </c>
      <c r="CB32" s="2" t="s">
        <v>3</v>
      </c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6"/>
        <v>3268.73</v>
      </c>
      <c r="CQ32" s="2">
        <f t="shared" si="37"/>
        <v>56.67</v>
      </c>
      <c r="CR32" s="2">
        <f t="shared" si="58"/>
        <v>0</v>
      </c>
      <c r="CS32" s="2">
        <f t="shared" si="38"/>
        <v>0</v>
      </c>
      <c r="CT32" s="2">
        <f t="shared" si="39"/>
        <v>0</v>
      </c>
      <c r="CU32" s="2">
        <f t="shared" si="40"/>
        <v>0</v>
      </c>
      <c r="CV32" s="2">
        <f t="shared" si="41"/>
        <v>0</v>
      </c>
      <c r="CW32" s="2">
        <f t="shared" si="42"/>
        <v>0</v>
      </c>
      <c r="CX32" s="2">
        <f t="shared" si="43"/>
        <v>0</v>
      </c>
      <c r="CY32" s="2">
        <f t="shared" si="44"/>
        <v>0</v>
      </c>
      <c r="CZ32" s="2">
        <f t="shared" si="45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1005</v>
      </c>
      <c r="DV32" s="2" t="s">
        <v>56</v>
      </c>
      <c r="DW32" s="2" t="s">
        <v>56</v>
      </c>
      <c r="DX32" s="2">
        <v>1</v>
      </c>
      <c r="DY32" s="2"/>
      <c r="DZ32" s="2" t="s">
        <v>3</v>
      </c>
      <c r="EA32" s="2" t="s">
        <v>3</v>
      </c>
      <c r="EB32" s="2" t="s">
        <v>3</v>
      </c>
      <c r="EC32" s="2" t="s">
        <v>3</v>
      </c>
      <c r="ED32" s="2"/>
      <c r="EE32" s="2">
        <v>55471797</v>
      </c>
      <c r="EF32" s="2">
        <v>6</v>
      </c>
      <c r="EG32" s="2" t="s">
        <v>47</v>
      </c>
      <c r="EH32" s="2">
        <v>97</v>
      </c>
      <c r="EI32" s="2" t="s">
        <v>48</v>
      </c>
      <c r="EJ32" s="2">
        <v>1</v>
      </c>
      <c r="EK32" s="2">
        <v>63001</v>
      </c>
      <c r="EL32" s="2" t="s">
        <v>49</v>
      </c>
      <c r="EM32" s="2" t="s">
        <v>50</v>
      </c>
      <c r="EN32" s="2"/>
      <c r="EO32" s="2" t="s">
        <v>3</v>
      </c>
      <c r="EP32" s="2"/>
      <c r="EQ32" s="2">
        <v>0</v>
      </c>
      <c r="ER32" s="2">
        <v>56.67</v>
      </c>
      <c r="ES32" s="2">
        <v>56.67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6"/>
        <v>0</v>
      </c>
      <c r="FS32" s="2">
        <v>0</v>
      </c>
      <c r="FT32" s="2"/>
      <c r="FU32" s="2"/>
      <c r="FV32" s="2"/>
      <c r="FW32" s="2"/>
      <c r="FX32" s="2">
        <v>90</v>
      </c>
      <c r="FY32" s="2">
        <v>45</v>
      </c>
      <c r="FZ32" s="2"/>
      <c r="GA32" s="2" t="s">
        <v>3</v>
      </c>
      <c r="GB32" s="2"/>
      <c r="GC32" s="2"/>
      <c r="GD32" s="2">
        <v>1</v>
      </c>
      <c r="GE32" s="2"/>
      <c r="GF32" s="2">
        <v>-150126821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7"/>
        <v>0</v>
      </c>
      <c r="GM32" s="2">
        <f t="shared" si="48"/>
        <v>3268.73</v>
      </c>
      <c r="GN32" s="2">
        <f t="shared" si="49"/>
        <v>3268.73</v>
      </c>
      <c r="GO32" s="2">
        <f t="shared" si="50"/>
        <v>0</v>
      </c>
      <c r="GP32" s="2">
        <f t="shared" si="51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2"/>
        <v>0</v>
      </c>
      <c r="GW32" s="2">
        <v>1</v>
      </c>
      <c r="GX32" s="2">
        <f t="shared" si="53"/>
        <v>0</v>
      </c>
      <c r="GY32" s="2"/>
      <c r="GZ32" s="2"/>
      <c r="HA32" s="2">
        <v>0</v>
      </c>
      <c r="HB32" s="2">
        <v>0</v>
      </c>
      <c r="HC32" s="2">
        <f t="shared" si="54"/>
        <v>0</v>
      </c>
      <c r="HD32" s="2"/>
      <c r="HE32" s="2" t="s">
        <v>3</v>
      </c>
      <c r="HF32" s="2" t="s">
        <v>3</v>
      </c>
      <c r="HG32" s="2"/>
      <c r="HH32" s="2"/>
      <c r="HI32" s="2"/>
      <c r="HJ32" s="2"/>
      <c r="HK32" s="2"/>
      <c r="HL32" s="2"/>
      <c r="HM32" s="2" t="s">
        <v>3</v>
      </c>
      <c r="HN32" s="2" t="s">
        <v>51</v>
      </c>
      <c r="HO32" s="2" t="s">
        <v>52</v>
      </c>
      <c r="HP32" s="2" t="s">
        <v>49</v>
      </c>
      <c r="HQ32" s="2" t="s">
        <v>49</v>
      </c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ht="12.75">
      <c r="A33">
        <v>18</v>
      </c>
      <c r="B33">
        <v>1</v>
      </c>
      <c r="C33">
        <v>28</v>
      </c>
      <c r="E33" t="s">
        <v>53</v>
      </c>
      <c r="F33" t="s">
        <v>54</v>
      </c>
      <c r="G33" t="s">
        <v>55</v>
      </c>
      <c r="H33" t="s">
        <v>56</v>
      </c>
      <c r="I33">
        <f>I31*J33</f>
        <v>57.68</v>
      </c>
      <c r="J33">
        <v>20.73626689675007</v>
      </c>
      <c r="K33">
        <v>20.736267</v>
      </c>
      <c r="O33">
        <f t="shared" si="21"/>
        <v>21965.84</v>
      </c>
      <c r="P33">
        <f t="shared" si="22"/>
        <v>21965.84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55671155</v>
      </c>
      <c r="AB33">
        <f t="shared" si="32"/>
        <v>56.67</v>
      </c>
      <c r="AC33">
        <f t="shared" si="33"/>
        <v>56.67</v>
      </c>
      <c r="AD33">
        <f t="shared" si="55"/>
        <v>0</v>
      </c>
      <c r="AE33">
        <f t="shared" si="56"/>
        <v>0</v>
      </c>
      <c r="AF33">
        <f t="shared" si="56"/>
        <v>0</v>
      </c>
      <c r="AG33">
        <f t="shared" si="34"/>
        <v>0</v>
      </c>
      <c r="AH33">
        <f t="shared" si="57"/>
        <v>0</v>
      </c>
      <c r="AI33">
        <f t="shared" si="57"/>
        <v>0</v>
      </c>
      <c r="AJ33">
        <f t="shared" si="35"/>
        <v>0</v>
      </c>
      <c r="AK33">
        <v>56.67</v>
      </c>
      <c r="AL33">
        <v>56.67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45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6.72</v>
      </c>
      <c r="BH33">
        <v>3</v>
      </c>
      <c r="BI33">
        <v>1</v>
      </c>
      <c r="BJ33" t="s">
        <v>57</v>
      </c>
      <c r="BM33">
        <v>63001</v>
      </c>
      <c r="BN33">
        <v>0</v>
      </c>
      <c r="BO33" t="s">
        <v>41</v>
      </c>
      <c r="BP33">
        <v>1</v>
      </c>
      <c r="BQ33">
        <v>6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90</v>
      </c>
      <c r="CA33">
        <v>45</v>
      </c>
      <c r="CE33">
        <v>0</v>
      </c>
      <c r="CF33">
        <v>0</v>
      </c>
      <c r="CG33">
        <v>0</v>
      </c>
      <c r="CM33">
        <v>0</v>
      </c>
      <c r="CO33">
        <v>0</v>
      </c>
      <c r="CP33">
        <f t="shared" si="36"/>
        <v>21965.84</v>
      </c>
      <c r="CQ33">
        <f t="shared" si="37"/>
        <v>380.8224</v>
      </c>
      <c r="CR33">
        <f t="shared" si="58"/>
        <v>0</v>
      </c>
      <c r="CS33">
        <f t="shared" si="38"/>
        <v>0</v>
      </c>
      <c r="CT33">
        <f t="shared" si="39"/>
        <v>0</v>
      </c>
      <c r="CU33">
        <f t="shared" si="40"/>
        <v>0</v>
      </c>
      <c r="CV33">
        <f t="shared" si="41"/>
        <v>0</v>
      </c>
      <c r="CW33">
        <f t="shared" si="42"/>
        <v>0</v>
      </c>
      <c r="CX33">
        <f t="shared" si="43"/>
        <v>0</v>
      </c>
      <c r="CY33">
        <f t="shared" si="44"/>
        <v>0</v>
      </c>
      <c r="CZ33">
        <f t="shared" si="45"/>
        <v>0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56</v>
      </c>
      <c r="DW33" t="s">
        <v>56</v>
      </c>
      <c r="DX33">
        <v>1</v>
      </c>
      <c r="EE33">
        <v>55471797</v>
      </c>
      <c r="EF33">
        <v>6</v>
      </c>
      <c r="EG33" t="s">
        <v>47</v>
      </c>
      <c r="EH33">
        <v>97</v>
      </c>
      <c r="EI33" t="s">
        <v>48</v>
      </c>
      <c r="EJ33">
        <v>1</v>
      </c>
      <c r="EK33">
        <v>63001</v>
      </c>
      <c r="EL33" t="s">
        <v>49</v>
      </c>
      <c r="EM33" t="s">
        <v>50</v>
      </c>
      <c r="EQ33">
        <v>0</v>
      </c>
      <c r="ER33">
        <v>56.67</v>
      </c>
      <c r="ES33">
        <v>56.67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6"/>
        <v>0</v>
      </c>
      <c r="FS33">
        <v>0</v>
      </c>
      <c r="FX33">
        <v>90</v>
      </c>
      <c r="FY33">
        <v>45</v>
      </c>
      <c r="GD33">
        <v>1</v>
      </c>
      <c r="GF33">
        <v>-150126821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47"/>
        <v>0</v>
      </c>
      <c r="GM33">
        <f t="shared" si="48"/>
        <v>21965.84</v>
      </c>
      <c r="GN33">
        <f t="shared" si="49"/>
        <v>21965.84</v>
      </c>
      <c r="GO33">
        <f t="shared" si="50"/>
        <v>0</v>
      </c>
      <c r="GP33">
        <f t="shared" si="51"/>
        <v>0</v>
      </c>
      <c r="GR33">
        <v>0</v>
      </c>
      <c r="GS33">
        <v>0</v>
      </c>
      <c r="GT33">
        <v>0</v>
      </c>
      <c r="GV33">
        <f t="shared" si="52"/>
        <v>0</v>
      </c>
      <c r="GW33">
        <v>1</v>
      </c>
      <c r="GX33">
        <f t="shared" si="53"/>
        <v>0</v>
      </c>
      <c r="HA33">
        <v>0</v>
      </c>
      <c r="HB33">
        <v>0</v>
      </c>
      <c r="HC33">
        <f t="shared" si="54"/>
        <v>0</v>
      </c>
      <c r="HN33" t="s">
        <v>51</v>
      </c>
      <c r="HO33" t="s">
        <v>52</v>
      </c>
      <c r="HP33" t="s">
        <v>49</v>
      </c>
      <c r="HQ33" t="s">
        <v>49</v>
      </c>
      <c r="IK33">
        <v>0</v>
      </c>
    </row>
    <row r="34" spans="1:255" ht="12.75">
      <c r="A34" s="2">
        <v>18</v>
      </c>
      <c r="B34" s="2">
        <v>1</v>
      </c>
      <c r="C34" s="2">
        <v>20</v>
      </c>
      <c r="D34" s="2"/>
      <c r="E34" s="2" t="s">
        <v>58</v>
      </c>
      <c r="F34" s="2" t="s">
        <v>59</v>
      </c>
      <c r="G34" s="2" t="s">
        <v>60</v>
      </c>
      <c r="H34" s="2" t="s">
        <v>56</v>
      </c>
      <c r="I34" s="2">
        <f>I30*J34</f>
        <v>224.72</v>
      </c>
      <c r="J34" s="2">
        <v>80.78803566292781</v>
      </c>
      <c r="K34" s="2">
        <v>80.788036</v>
      </c>
      <c r="L34" s="2"/>
      <c r="M34" s="2"/>
      <c r="N34" s="2"/>
      <c r="O34" s="2">
        <f t="shared" si="21"/>
        <v>12031.51</v>
      </c>
      <c r="P34" s="2">
        <f t="shared" si="22"/>
        <v>12031.51</v>
      </c>
      <c r="Q34" s="2">
        <f t="shared" si="23"/>
        <v>0</v>
      </c>
      <c r="R34" s="2">
        <f t="shared" si="24"/>
        <v>0</v>
      </c>
      <c r="S34" s="2">
        <f t="shared" si="25"/>
        <v>0</v>
      </c>
      <c r="T34" s="2">
        <f t="shared" si="26"/>
        <v>0</v>
      </c>
      <c r="U34" s="2">
        <f t="shared" si="27"/>
        <v>0</v>
      </c>
      <c r="V34" s="2">
        <f t="shared" si="28"/>
        <v>0</v>
      </c>
      <c r="W34" s="2">
        <f t="shared" si="29"/>
        <v>0</v>
      </c>
      <c r="X34" s="2">
        <f t="shared" si="30"/>
        <v>0</v>
      </c>
      <c r="Y34" s="2">
        <f t="shared" si="31"/>
        <v>0</v>
      </c>
      <c r="Z34" s="2"/>
      <c r="AA34" s="2">
        <v>55670666</v>
      </c>
      <c r="AB34" s="2">
        <f t="shared" si="32"/>
        <v>53.54</v>
      </c>
      <c r="AC34" s="2">
        <f t="shared" si="33"/>
        <v>53.54</v>
      </c>
      <c r="AD34" s="2">
        <f t="shared" si="55"/>
        <v>0</v>
      </c>
      <c r="AE34" s="2">
        <f t="shared" si="56"/>
        <v>0</v>
      </c>
      <c r="AF34" s="2">
        <f t="shared" si="56"/>
        <v>0</v>
      </c>
      <c r="AG34" s="2">
        <f t="shared" si="34"/>
        <v>0</v>
      </c>
      <c r="AH34" s="2">
        <f t="shared" si="57"/>
        <v>0</v>
      </c>
      <c r="AI34" s="2">
        <f t="shared" si="57"/>
        <v>0</v>
      </c>
      <c r="AJ34" s="2">
        <f t="shared" si="35"/>
        <v>0</v>
      </c>
      <c r="AK34" s="2">
        <v>53.54</v>
      </c>
      <c r="AL34" s="2">
        <v>53.54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90</v>
      </c>
      <c r="AU34" s="2">
        <v>45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3</v>
      </c>
      <c r="BI34" s="2">
        <v>1</v>
      </c>
      <c r="BJ34" s="2" t="s">
        <v>61</v>
      </c>
      <c r="BK34" s="2"/>
      <c r="BL34" s="2"/>
      <c r="BM34" s="2">
        <v>63001</v>
      </c>
      <c r="BN34" s="2">
        <v>0</v>
      </c>
      <c r="BO34" s="2" t="s">
        <v>3</v>
      </c>
      <c r="BP34" s="2">
        <v>0</v>
      </c>
      <c r="BQ34" s="2">
        <v>6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90</v>
      </c>
      <c r="CA34" s="2">
        <v>45</v>
      </c>
      <c r="CB34" s="2" t="s">
        <v>3</v>
      </c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6"/>
        <v>12031.51</v>
      </c>
      <c r="CQ34" s="2">
        <f t="shared" si="37"/>
        <v>53.54</v>
      </c>
      <c r="CR34" s="2">
        <f t="shared" si="58"/>
        <v>0</v>
      </c>
      <c r="CS34" s="2">
        <f t="shared" si="38"/>
        <v>0</v>
      </c>
      <c r="CT34" s="2">
        <f t="shared" si="39"/>
        <v>0</v>
      </c>
      <c r="CU34" s="2">
        <f t="shared" si="40"/>
        <v>0</v>
      </c>
      <c r="CV34" s="2">
        <f t="shared" si="41"/>
        <v>0</v>
      </c>
      <c r="CW34" s="2">
        <f t="shared" si="42"/>
        <v>0</v>
      </c>
      <c r="CX34" s="2">
        <f t="shared" si="43"/>
        <v>0</v>
      </c>
      <c r="CY34" s="2">
        <f t="shared" si="44"/>
        <v>0</v>
      </c>
      <c r="CZ34" s="2">
        <f t="shared" si="45"/>
        <v>0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1005</v>
      </c>
      <c r="DV34" s="2" t="s">
        <v>56</v>
      </c>
      <c r="DW34" s="2" t="s">
        <v>56</v>
      </c>
      <c r="DX34" s="2">
        <v>1</v>
      </c>
      <c r="DY34" s="2"/>
      <c r="DZ34" s="2" t="s">
        <v>3</v>
      </c>
      <c r="EA34" s="2" t="s">
        <v>3</v>
      </c>
      <c r="EB34" s="2" t="s">
        <v>3</v>
      </c>
      <c r="EC34" s="2" t="s">
        <v>3</v>
      </c>
      <c r="ED34" s="2"/>
      <c r="EE34" s="2">
        <v>55471797</v>
      </c>
      <c r="EF34" s="2">
        <v>6</v>
      </c>
      <c r="EG34" s="2" t="s">
        <v>47</v>
      </c>
      <c r="EH34" s="2">
        <v>97</v>
      </c>
      <c r="EI34" s="2" t="s">
        <v>48</v>
      </c>
      <c r="EJ34" s="2">
        <v>1</v>
      </c>
      <c r="EK34" s="2">
        <v>63001</v>
      </c>
      <c r="EL34" s="2" t="s">
        <v>49</v>
      </c>
      <c r="EM34" s="2" t="s">
        <v>50</v>
      </c>
      <c r="EN34" s="2"/>
      <c r="EO34" s="2" t="s">
        <v>3</v>
      </c>
      <c r="EP34" s="2"/>
      <c r="EQ34" s="2">
        <v>0</v>
      </c>
      <c r="ER34" s="2">
        <v>53.54</v>
      </c>
      <c r="ES34" s="2">
        <v>53.54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6"/>
        <v>0</v>
      </c>
      <c r="FS34" s="2">
        <v>0</v>
      </c>
      <c r="FT34" s="2"/>
      <c r="FU34" s="2"/>
      <c r="FV34" s="2"/>
      <c r="FW34" s="2"/>
      <c r="FX34" s="2">
        <v>90</v>
      </c>
      <c r="FY34" s="2">
        <v>45</v>
      </c>
      <c r="FZ34" s="2"/>
      <c r="GA34" s="2" t="s">
        <v>3</v>
      </c>
      <c r="GB34" s="2"/>
      <c r="GC34" s="2"/>
      <c r="GD34" s="2">
        <v>1</v>
      </c>
      <c r="GE34" s="2"/>
      <c r="GF34" s="2">
        <v>-610451700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7"/>
        <v>0</v>
      </c>
      <c r="GM34" s="2">
        <f t="shared" si="48"/>
        <v>12031.51</v>
      </c>
      <c r="GN34" s="2">
        <f t="shared" si="49"/>
        <v>12031.51</v>
      </c>
      <c r="GO34" s="2">
        <f t="shared" si="50"/>
        <v>0</v>
      </c>
      <c r="GP34" s="2">
        <f t="shared" si="51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2"/>
        <v>0</v>
      </c>
      <c r="GW34" s="2">
        <v>1</v>
      </c>
      <c r="GX34" s="2">
        <f t="shared" si="53"/>
        <v>0</v>
      </c>
      <c r="GY34" s="2"/>
      <c r="GZ34" s="2"/>
      <c r="HA34" s="2">
        <v>0</v>
      </c>
      <c r="HB34" s="2">
        <v>0</v>
      </c>
      <c r="HC34" s="2">
        <f t="shared" si="54"/>
        <v>0</v>
      </c>
      <c r="HD34" s="2"/>
      <c r="HE34" s="2" t="s">
        <v>3</v>
      </c>
      <c r="HF34" s="2" t="s">
        <v>3</v>
      </c>
      <c r="HG34" s="2"/>
      <c r="HH34" s="2"/>
      <c r="HI34" s="2"/>
      <c r="HJ34" s="2"/>
      <c r="HK34" s="2"/>
      <c r="HL34" s="2"/>
      <c r="HM34" s="2" t="s">
        <v>3</v>
      </c>
      <c r="HN34" s="2" t="s">
        <v>51</v>
      </c>
      <c r="HO34" s="2" t="s">
        <v>52</v>
      </c>
      <c r="HP34" s="2" t="s">
        <v>49</v>
      </c>
      <c r="HQ34" s="2" t="s">
        <v>49</v>
      </c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45" ht="12.75">
      <c r="A35">
        <v>18</v>
      </c>
      <c r="B35">
        <v>1</v>
      </c>
      <c r="C35">
        <v>29</v>
      </c>
      <c r="E35" t="s">
        <v>58</v>
      </c>
      <c r="F35" t="s">
        <v>59</v>
      </c>
      <c r="G35" t="s">
        <v>60</v>
      </c>
      <c r="H35" t="s">
        <v>56</v>
      </c>
      <c r="I35">
        <f>I31*J35</f>
        <v>224.72</v>
      </c>
      <c r="J35">
        <v>80.78803566292781</v>
      </c>
      <c r="K35">
        <v>80.788036</v>
      </c>
      <c r="O35">
        <f t="shared" si="21"/>
        <v>80851.74</v>
      </c>
      <c r="P35">
        <f t="shared" si="22"/>
        <v>80851.74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55671155</v>
      </c>
      <c r="AB35">
        <f t="shared" si="32"/>
        <v>53.54</v>
      </c>
      <c r="AC35">
        <f t="shared" si="33"/>
        <v>53.54</v>
      </c>
      <c r="AD35">
        <f t="shared" si="55"/>
        <v>0</v>
      </c>
      <c r="AE35">
        <f t="shared" si="56"/>
        <v>0</v>
      </c>
      <c r="AF35">
        <f t="shared" si="56"/>
        <v>0</v>
      </c>
      <c r="AG35">
        <f t="shared" si="34"/>
        <v>0</v>
      </c>
      <c r="AH35">
        <f t="shared" si="57"/>
        <v>0</v>
      </c>
      <c r="AI35">
        <f t="shared" si="57"/>
        <v>0</v>
      </c>
      <c r="AJ35">
        <f t="shared" si="35"/>
        <v>0</v>
      </c>
      <c r="AK35">
        <v>53.54</v>
      </c>
      <c r="AL35">
        <v>53.54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90</v>
      </c>
      <c r="AU35">
        <v>45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6.72</v>
      </c>
      <c r="BH35">
        <v>3</v>
      </c>
      <c r="BI35">
        <v>1</v>
      </c>
      <c r="BJ35" t="s">
        <v>61</v>
      </c>
      <c r="BM35">
        <v>63001</v>
      </c>
      <c r="BN35">
        <v>0</v>
      </c>
      <c r="BO35" t="s">
        <v>41</v>
      </c>
      <c r="BP35">
        <v>1</v>
      </c>
      <c r="BQ35">
        <v>6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90</v>
      </c>
      <c r="CA35">
        <v>45</v>
      </c>
      <c r="CE35">
        <v>0</v>
      </c>
      <c r="CF35">
        <v>0</v>
      </c>
      <c r="CG35">
        <v>0</v>
      </c>
      <c r="CM35">
        <v>0</v>
      </c>
      <c r="CO35">
        <v>0</v>
      </c>
      <c r="CP35">
        <f t="shared" si="36"/>
        <v>80851.74</v>
      </c>
      <c r="CQ35">
        <f t="shared" si="37"/>
        <v>359.7888</v>
      </c>
      <c r="CR35">
        <f t="shared" si="58"/>
        <v>0</v>
      </c>
      <c r="CS35">
        <f t="shared" si="38"/>
        <v>0</v>
      </c>
      <c r="CT35">
        <f t="shared" si="39"/>
        <v>0</v>
      </c>
      <c r="CU35">
        <f t="shared" si="40"/>
        <v>0</v>
      </c>
      <c r="CV35">
        <f t="shared" si="41"/>
        <v>0</v>
      </c>
      <c r="CW35">
        <f t="shared" si="42"/>
        <v>0</v>
      </c>
      <c r="CX35">
        <f t="shared" si="43"/>
        <v>0</v>
      </c>
      <c r="CY35">
        <f t="shared" si="44"/>
        <v>0</v>
      </c>
      <c r="CZ35">
        <f t="shared" si="45"/>
        <v>0</v>
      </c>
      <c r="DN35">
        <v>0</v>
      </c>
      <c r="DO35">
        <v>0</v>
      </c>
      <c r="DP35">
        <v>1</v>
      </c>
      <c r="DQ35">
        <v>1</v>
      </c>
      <c r="DU35">
        <v>1005</v>
      </c>
      <c r="DV35" t="s">
        <v>56</v>
      </c>
      <c r="DW35" t="s">
        <v>56</v>
      </c>
      <c r="DX35">
        <v>1</v>
      </c>
      <c r="EE35">
        <v>55471797</v>
      </c>
      <c r="EF35">
        <v>6</v>
      </c>
      <c r="EG35" t="s">
        <v>47</v>
      </c>
      <c r="EH35">
        <v>97</v>
      </c>
      <c r="EI35" t="s">
        <v>48</v>
      </c>
      <c r="EJ35">
        <v>1</v>
      </c>
      <c r="EK35">
        <v>63001</v>
      </c>
      <c r="EL35" t="s">
        <v>49</v>
      </c>
      <c r="EM35" t="s">
        <v>50</v>
      </c>
      <c r="EQ35">
        <v>0</v>
      </c>
      <c r="ER35">
        <v>53.54</v>
      </c>
      <c r="ES35">
        <v>53.54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6"/>
        <v>0</v>
      </c>
      <c r="FS35">
        <v>0</v>
      </c>
      <c r="FX35">
        <v>90</v>
      </c>
      <c r="FY35">
        <v>45</v>
      </c>
      <c r="GD35">
        <v>1</v>
      </c>
      <c r="GF35">
        <v>-610451700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47"/>
        <v>0</v>
      </c>
      <c r="GM35">
        <f t="shared" si="48"/>
        <v>80851.74</v>
      </c>
      <c r="GN35">
        <f t="shared" si="49"/>
        <v>80851.74</v>
      </c>
      <c r="GO35">
        <f t="shared" si="50"/>
        <v>0</v>
      </c>
      <c r="GP35">
        <f t="shared" si="51"/>
        <v>0</v>
      </c>
      <c r="GR35">
        <v>0</v>
      </c>
      <c r="GS35">
        <v>3</v>
      </c>
      <c r="GT35">
        <v>0</v>
      </c>
      <c r="GV35">
        <f t="shared" si="52"/>
        <v>0</v>
      </c>
      <c r="GW35">
        <v>1</v>
      </c>
      <c r="GX35">
        <f t="shared" si="53"/>
        <v>0</v>
      </c>
      <c r="HA35">
        <v>0</v>
      </c>
      <c r="HB35">
        <v>0</v>
      </c>
      <c r="HC35">
        <f t="shared" si="54"/>
        <v>0</v>
      </c>
      <c r="HN35" t="s">
        <v>51</v>
      </c>
      <c r="HO35" t="s">
        <v>52</v>
      </c>
      <c r="HP35" t="s">
        <v>49</v>
      </c>
      <c r="HQ35" t="s">
        <v>49</v>
      </c>
      <c r="IK35">
        <v>0</v>
      </c>
    </row>
    <row r="36" spans="1:255" ht="12.75">
      <c r="A36" s="2">
        <v>18</v>
      </c>
      <c r="B36" s="2">
        <v>1</v>
      </c>
      <c r="C36" s="2">
        <v>21</v>
      </c>
      <c r="D36" s="2"/>
      <c r="E36" s="2" t="s">
        <v>62</v>
      </c>
      <c r="F36" s="2" t="s">
        <v>63</v>
      </c>
      <c r="G36" s="2" t="s">
        <v>64</v>
      </c>
      <c r="H36" s="2" t="s">
        <v>65</v>
      </c>
      <c r="I36" s="2">
        <f>I30*J36</f>
        <v>2.725968</v>
      </c>
      <c r="J36" s="2">
        <v>0.98</v>
      </c>
      <c r="K36" s="2">
        <v>0.98</v>
      </c>
      <c r="L36" s="2"/>
      <c r="M36" s="2"/>
      <c r="N36" s="2"/>
      <c r="O36" s="2">
        <f t="shared" si="21"/>
        <v>0</v>
      </c>
      <c r="P36" s="2">
        <f t="shared" si="22"/>
        <v>0</v>
      </c>
      <c r="Q36" s="2">
        <f t="shared" si="23"/>
        <v>0</v>
      </c>
      <c r="R36" s="2">
        <f t="shared" si="24"/>
        <v>0</v>
      </c>
      <c r="S36" s="2">
        <f t="shared" si="25"/>
        <v>0</v>
      </c>
      <c r="T36" s="2">
        <f t="shared" si="26"/>
        <v>0</v>
      </c>
      <c r="U36" s="2">
        <f t="shared" si="27"/>
        <v>0</v>
      </c>
      <c r="V36" s="2">
        <f t="shared" si="28"/>
        <v>0</v>
      </c>
      <c r="W36" s="2">
        <f t="shared" si="29"/>
        <v>0</v>
      </c>
      <c r="X36" s="2">
        <f t="shared" si="30"/>
        <v>0</v>
      </c>
      <c r="Y36" s="2">
        <f t="shared" si="31"/>
        <v>0</v>
      </c>
      <c r="Z36" s="2"/>
      <c r="AA36" s="2">
        <v>55670666</v>
      </c>
      <c r="AB36" s="2">
        <f t="shared" si="32"/>
        <v>0</v>
      </c>
      <c r="AC36" s="2">
        <f t="shared" si="33"/>
        <v>0</v>
      </c>
      <c r="AD36" s="2">
        <f t="shared" si="55"/>
        <v>0</v>
      </c>
      <c r="AE36" s="2">
        <f t="shared" si="56"/>
        <v>0</v>
      </c>
      <c r="AF36" s="2">
        <f t="shared" si="56"/>
        <v>0</v>
      </c>
      <c r="AG36" s="2">
        <f t="shared" si="34"/>
        <v>0</v>
      </c>
      <c r="AH36" s="2">
        <f t="shared" si="57"/>
        <v>0</v>
      </c>
      <c r="AI36" s="2">
        <f t="shared" si="57"/>
        <v>0</v>
      </c>
      <c r="AJ36" s="2">
        <f t="shared" si="35"/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90</v>
      </c>
      <c r="AU36" s="2">
        <v>45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3</v>
      </c>
      <c r="BI36" s="2">
        <v>1</v>
      </c>
      <c r="BJ36" s="2" t="s">
        <v>3</v>
      </c>
      <c r="BK36" s="2"/>
      <c r="BL36" s="2"/>
      <c r="BM36" s="2">
        <v>63001</v>
      </c>
      <c r="BN36" s="2">
        <v>0</v>
      </c>
      <c r="BO36" s="2" t="s">
        <v>3</v>
      </c>
      <c r="BP36" s="2">
        <v>0</v>
      </c>
      <c r="BQ36" s="2">
        <v>6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90</v>
      </c>
      <c r="CA36" s="2">
        <v>45</v>
      </c>
      <c r="CB36" s="2" t="s">
        <v>3</v>
      </c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6"/>
        <v>0</v>
      </c>
      <c r="CQ36" s="2">
        <f t="shared" si="37"/>
        <v>0</v>
      </c>
      <c r="CR36" s="2">
        <f t="shared" si="58"/>
        <v>0</v>
      </c>
      <c r="CS36" s="2">
        <f t="shared" si="38"/>
        <v>0</v>
      </c>
      <c r="CT36" s="2">
        <f t="shared" si="39"/>
        <v>0</v>
      </c>
      <c r="CU36" s="2">
        <f t="shared" si="40"/>
        <v>0</v>
      </c>
      <c r="CV36" s="2">
        <f t="shared" si="41"/>
        <v>0</v>
      </c>
      <c r="CW36" s="2">
        <f t="shared" si="42"/>
        <v>0</v>
      </c>
      <c r="CX36" s="2">
        <f t="shared" si="43"/>
        <v>0</v>
      </c>
      <c r="CY36" s="2">
        <f t="shared" si="44"/>
        <v>0</v>
      </c>
      <c r="CZ36" s="2">
        <f t="shared" si="45"/>
        <v>0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65</v>
      </c>
      <c r="DW36" s="2" t="s">
        <v>65</v>
      </c>
      <c r="DX36" s="2">
        <v>1000</v>
      </c>
      <c r="DY36" s="2"/>
      <c r="DZ36" s="2" t="s">
        <v>3</v>
      </c>
      <c r="EA36" s="2" t="s">
        <v>3</v>
      </c>
      <c r="EB36" s="2" t="s">
        <v>3</v>
      </c>
      <c r="EC36" s="2" t="s">
        <v>3</v>
      </c>
      <c r="ED36" s="2"/>
      <c r="EE36" s="2">
        <v>55471797</v>
      </c>
      <c r="EF36" s="2">
        <v>6</v>
      </c>
      <c r="EG36" s="2" t="s">
        <v>47</v>
      </c>
      <c r="EH36" s="2">
        <v>97</v>
      </c>
      <c r="EI36" s="2" t="s">
        <v>48</v>
      </c>
      <c r="EJ36" s="2">
        <v>1</v>
      </c>
      <c r="EK36" s="2">
        <v>63001</v>
      </c>
      <c r="EL36" s="2" t="s">
        <v>49</v>
      </c>
      <c r="EM36" s="2" t="s">
        <v>50</v>
      </c>
      <c r="EN36" s="2"/>
      <c r="EO36" s="2" t="s">
        <v>3</v>
      </c>
      <c r="EP36" s="2"/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6"/>
        <v>0</v>
      </c>
      <c r="FS36" s="2">
        <v>0</v>
      </c>
      <c r="FT36" s="2"/>
      <c r="FU36" s="2"/>
      <c r="FV36" s="2"/>
      <c r="FW36" s="2"/>
      <c r="FX36" s="2">
        <v>90</v>
      </c>
      <c r="FY36" s="2">
        <v>45</v>
      </c>
      <c r="FZ36" s="2"/>
      <c r="GA36" s="2" t="s">
        <v>3</v>
      </c>
      <c r="GB36" s="2"/>
      <c r="GC36" s="2"/>
      <c r="GD36" s="2">
        <v>1</v>
      </c>
      <c r="GE36" s="2"/>
      <c r="GF36" s="2">
        <v>2102561428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47"/>
        <v>0</v>
      </c>
      <c r="GM36" s="2">
        <f t="shared" si="48"/>
        <v>0</v>
      </c>
      <c r="GN36" s="2">
        <f t="shared" si="49"/>
        <v>0</v>
      </c>
      <c r="GO36" s="2">
        <f t="shared" si="50"/>
        <v>0</v>
      </c>
      <c r="GP36" s="2">
        <f t="shared" si="51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2"/>
        <v>0</v>
      </c>
      <c r="GW36" s="2">
        <v>1</v>
      </c>
      <c r="GX36" s="2">
        <f t="shared" si="53"/>
        <v>0</v>
      </c>
      <c r="GY36" s="2"/>
      <c r="GZ36" s="2"/>
      <c r="HA36" s="2">
        <v>0</v>
      </c>
      <c r="HB36" s="2">
        <v>0</v>
      </c>
      <c r="HC36" s="2">
        <f t="shared" si="54"/>
        <v>0</v>
      </c>
      <c r="HD36" s="2"/>
      <c r="HE36" s="2" t="s">
        <v>3</v>
      </c>
      <c r="HF36" s="2" t="s">
        <v>3</v>
      </c>
      <c r="HG36" s="2"/>
      <c r="HH36" s="2"/>
      <c r="HI36" s="2"/>
      <c r="HJ36" s="2"/>
      <c r="HK36" s="2"/>
      <c r="HL36" s="2"/>
      <c r="HM36" s="2" t="s">
        <v>3</v>
      </c>
      <c r="HN36" s="2" t="s">
        <v>51</v>
      </c>
      <c r="HO36" s="2" t="s">
        <v>52</v>
      </c>
      <c r="HP36" s="2" t="s">
        <v>49</v>
      </c>
      <c r="HQ36" s="2" t="s">
        <v>49</v>
      </c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45" ht="12.75">
      <c r="A37">
        <v>18</v>
      </c>
      <c r="B37">
        <v>1</v>
      </c>
      <c r="C37">
        <v>30</v>
      </c>
      <c r="E37" t="s">
        <v>62</v>
      </c>
      <c r="F37" t="s">
        <v>63</v>
      </c>
      <c r="G37" t="s">
        <v>64</v>
      </c>
      <c r="H37" t="s">
        <v>65</v>
      </c>
      <c r="I37">
        <f>I31*J37</f>
        <v>2.725968</v>
      </c>
      <c r="J37">
        <v>0.98</v>
      </c>
      <c r="K37">
        <v>0.98</v>
      </c>
      <c r="O37">
        <f t="shared" si="21"/>
        <v>0</v>
      </c>
      <c r="P37">
        <f t="shared" si="22"/>
        <v>0</v>
      </c>
      <c r="Q37">
        <f t="shared" si="23"/>
        <v>0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0</v>
      </c>
      <c r="X37">
        <f t="shared" si="30"/>
        <v>0</v>
      </c>
      <c r="Y37">
        <f t="shared" si="31"/>
        <v>0</v>
      </c>
      <c r="AA37">
        <v>55671155</v>
      </c>
      <c r="AB37">
        <f t="shared" si="32"/>
        <v>0</v>
      </c>
      <c r="AC37">
        <f t="shared" si="33"/>
        <v>0</v>
      </c>
      <c r="AD37">
        <f t="shared" si="55"/>
        <v>0</v>
      </c>
      <c r="AE37">
        <f t="shared" si="56"/>
        <v>0</v>
      </c>
      <c r="AF37">
        <f t="shared" si="56"/>
        <v>0</v>
      </c>
      <c r="AG37">
        <f t="shared" si="34"/>
        <v>0</v>
      </c>
      <c r="AH37">
        <f t="shared" si="57"/>
        <v>0</v>
      </c>
      <c r="AI37">
        <f t="shared" si="57"/>
        <v>0</v>
      </c>
      <c r="AJ37">
        <f t="shared" si="35"/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45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6.72</v>
      </c>
      <c r="BH37">
        <v>3</v>
      </c>
      <c r="BI37">
        <v>1</v>
      </c>
      <c r="BM37">
        <v>63001</v>
      </c>
      <c r="BN37">
        <v>0</v>
      </c>
      <c r="BO37" t="s">
        <v>41</v>
      </c>
      <c r="BP37">
        <v>1</v>
      </c>
      <c r="BQ37">
        <v>6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90</v>
      </c>
      <c r="CA37">
        <v>45</v>
      </c>
      <c r="CE37">
        <v>0</v>
      </c>
      <c r="CF37">
        <v>0</v>
      </c>
      <c r="CG37">
        <v>0</v>
      </c>
      <c r="CM37">
        <v>0</v>
      </c>
      <c r="CO37">
        <v>0</v>
      </c>
      <c r="CP37">
        <f t="shared" si="36"/>
        <v>0</v>
      </c>
      <c r="CQ37">
        <f t="shared" si="37"/>
        <v>0</v>
      </c>
      <c r="CR37">
        <f t="shared" si="58"/>
        <v>0</v>
      </c>
      <c r="CS37">
        <f t="shared" si="38"/>
        <v>0</v>
      </c>
      <c r="CT37">
        <f t="shared" si="39"/>
        <v>0</v>
      </c>
      <c r="CU37">
        <f t="shared" si="40"/>
        <v>0</v>
      </c>
      <c r="CV37">
        <f t="shared" si="41"/>
        <v>0</v>
      </c>
      <c r="CW37">
        <f t="shared" si="42"/>
        <v>0</v>
      </c>
      <c r="CX37">
        <f t="shared" si="43"/>
        <v>0</v>
      </c>
      <c r="CY37">
        <f t="shared" si="44"/>
        <v>0</v>
      </c>
      <c r="CZ37">
        <f t="shared" si="45"/>
        <v>0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65</v>
      </c>
      <c r="DW37" t="s">
        <v>65</v>
      </c>
      <c r="DX37">
        <v>1000</v>
      </c>
      <c r="EE37">
        <v>55471797</v>
      </c>
      <c r="EF37">
        <v>6</v>
      </c>
      <c r="EG37" t="s">
        <v>47</v>
      </c>
      <c r="EH37">
        <v>97</v>
      </c>
      <c r="EI37" t="s">
        <v>48</v>
      </c>
      <c r="EJ37">
        <v>1</v>
      </c>
      <c r="EK37">
        <v>63001</v>
      </c>
      <c r="EL37" t="s">
        <v>49</v>
      </c>
      <c r="EM37" t="s">
        <v>50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6"/>
        <v>0</v>
      </c>
      <c r="FS37">
        <v>0</v>
      </c>
      <c r="FX37">
        <v>90</v>
      </c>
      <c r="FY37">
        <v>45</v>
      </c>
      <c r="GD37">
        <v>1</v>
      </c>
      <c r="GF37">
        <v>2102561428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47"/>
        <v>0</v>
      </c>
      <c r="GM37">
        <f t="shared" si="48"/>
        <v>0</v>
      </c>
      <c r="GN37">
        <f t="shared" si="49"/>
        <v>0</v>
      </c>
      <c r="GO37">
        <f t="shared" si="50"/>
        <v>0</v>
      </c>
      <c r="GP37">
        <f t="shared" si="51"/>
        <v>0</v>
      </c>
      <c r="GR37">
        <v>0</v>
      </c>
      <c r="GS37">
        <v>0</v>
      </c>
      <c r="GT37">
        <v>0</v>
      </c>
      <c r="GV37">
        <f t="shared" si="52"/>
        <v>0</v>
      </c>
      <c r="GW37">
        <v>1</v>
      </c>
      <c r="GX37">
        <f t="shared" si="53"/>
        <v>0</v>
      </c>
      <c r="HA37">
        <v>0</v>
      </c>
      <c r="HB37">
        <v>0</v>
      </c>
      <c r="HC37">
        <f t="shared" si="54"/>
        <v>0</v>
      </c>
      <c r="HN37" t="s">
        <v>51</v>
      </c>
      <c r="HO37" t="s">
        <v>52</v>
      </c>
      <c r="HP37" t="s">
        <v>49</v>
      </c>
      <c r="HQ37" t="s">
        <v>49</v>
      </c>
      <c r="IK37">
        <v>0</v>
      </c>
    </row>
    <row r="38" spans="1:255" ht="12.75">
      <c r="A38" s="2">
        <v>17</v>
      </c>
      <c r="B38" s="2">
        <v>1</v>
      </c>
      <c r="C38" s="2">
        <f>ROW(SmtRes!A34)</f>
        <v>34</v>
      </c>
      <c r="D38" s="2">
        <f>ROW(EtalonRes!A33)</f>
        <v>33</v>
      </c>
      <c r="E38" s="2" t="s">
        <v>66</v>
      </c>
      <c r="F38" s="2" t="s">
        <v>67</v>
      </c>
      <c r="G38" s="2" t="s">
        <v>68</v>
      </c>
      <c r="H38" s="2" t="s">
        <v>69</v>
      </c>
      <c r="I38" s="2">
        <f>ROUND(723.44/100,7)</f>
        <v>7.2344</v>
      </c>
      <c r="J38" s="2">
        <v>0</v>
      </c>
      <c r="K38" s="2">
        <f>ROUND(723.44/100,7)</f>
        <v>7.2344</v>
      </c>
      <c r="L38" s="2"/>
      <c r="M38" s="2"/>
      <c r="N38" s="2"/>
      <c r="O38" s="2">
        <f t="shared" si="21"/>
        <v>21684.3</v>
      </c>
      <c r="P38" s="2">
        <f t="shared" si="22"/>
        <v>21121.84</v>
      </c>
      <c r="Q38" s="2">
        <f t="shared" si="23"/>
        <v>77.25</v>
      </c>
      <c r="R38" s="2">
        <f t="shared" si="24"/>
        <v>13.67</v>
      </c>
      <c r="S38" s="2">
        <f t="shared" si="25"/>
        <v>485.21</v>
      </c>
      <c r="T38" s="2">
        <f t="shared" si="26"/>
        <v>0</v>
      </c>
      <c r="U38" s="2">
        <f t="shared" si="27"/>
        <v>53.49477079999999</v>
      </c>
      <c r="V38" s="2">
        <f t="shared" si="28"/>
        <v>1.1755900000000001</v>
      </c>
      <c r="W38" s="2">
        <f t="shared" si="29"/>
        <v>0</v>
      </c>
      <c r="X38" s="2">
        <f t="shared" si="30"/>
        <v>520.83</v>
      </c>
      <c r="Y38" s="2">
        <f t="shared" si="31"/>
        <v>339.24</v>
      </c>
      <c r="Z38" s="2"/>
      <c r="AA38" s="2">
        <v>55670666</v>
      </c>
      <c r="AB38" s="2">
        <f t="shared" si="32"/>
        <v>2997.39</v>
      </c>
      <c r="AC38" s="2">
        <f t="shared" si="33"/>
        <v>2919.64</v>
      </c>
      <c r="AD38" s="2">
        <f>ROUND(((((ET38*ROUND(1.25,7)))-((EU38*ROUND(1.25,7))))+AE38),2)</f>
        <v>10.68</v>
      </c>
      <c r="AE38" s="2">
        <f>ROUND(((EU38*ROUND(1.25,7))),2)</f>
        <v>1.89</v>
      </c>
      <c r="AF38" s="2">
        <f>ROUND(((EV38*ROUND(1.15,7))),2)</f>
        <v>67.07</v>
      </c>
      <c r="AG38" s="2">
        <f t="shared" si="34"/>
        <v>0</v>
      </c>
      <c r="AH38" s="2">
        <f>((EW38*ROUND(1.15,7)))</f>
        <v>7.394499999999999</v>
      </c>
      <c r="AI38" s="2">
        <f>((EX38*ROUND(1.25,7)))</f>
        <v>0.1625</v>
      </c>
      <c r="AJ38" s="2">
        <f t="shared" si="35"/>
        <v>0</v>
      </c>
      <c r="AK38" s="2">
        <v>2986.5</v>
      </c>
      <c r="AL38" s="2">
        <v>2919.64</v>
      </c>
      <c r="AM38" s="2">
        <v>8.54</v>
      </c>
      <c r="AN38" s="2">
        <v>1.51</v>
      </c>
      <c r="AO38" s="2">
        <v>58.32</v>
      </c>
      <c r="AP38" s="2">
        <v>0</v>
      </c>
      <c r="AQ38" s="2">
        <v>6.43</v>
      </c>
      <c r="AR38" s="2">
        <v>0.13</v>
      </c>
      <c r="AS38" s="2">
        <v>0</v>
      </c>
      <c r="AT38" s="2">
        <v>104.4</v>
      </c>
      <c r="AU38" s="2">
        <v>68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70</v>
      </c>
      <c r="BK38" s="2"/>
      <c r="BL38" s="2"/>
      <c r="BM38" s="2">
        <v>7005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116</v>
      </c>
      <c r="CA38" s="2">
        <v>80</v>
      </c>
      <c r="CB38" s="2" t="s">
        <v>3</v>
      </c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285</v>
      </c>
      <c r="CO38" s="2">
        <v>0</v>
      </c>
      <c r="CP38" s="2">
        <f t="shared" si="36"/>
        <v>21684.3</v>
      </c>
      <c r="CQ38" s="2">
        <f t="shared" si="37"/>
        <v>2919.64</v>
      </c>
      <c r="CR38" s="2">
        <f>((((ET38*ROUND(1.25,7)))*BB38-((EU38*ROUND(1.25,7)))*BS38)+AE38*BS38)</f>
        <v>10.6775</v>
      </c>
      <c r="CS38" s="2">
        <f t="shared" si="38"/>
        <v>1.89</v>
      </c>
      <c r="CT38" s="2">
        <f t="shared" si="39"/>
        <v>67.07</v>
      </c>
      <c r="CU38" s="2">
        <f t="shared" si="40"/>
        <v>0</v>
      </c>
      <c r="CV38" s="2">
        <f t="shared" si="41"/>
        <v>7.394499999999999</v>
      </c>
      <c r="CW38" s="2">
        <f t="shared" si="42"/>
        <v>0.1625</v>
      </c>
      <c r="CX38" s="2">
        <f t="shared" si="43"/>
        <v>0</v>
      </c>
      <c r="CY38" s="2">
        <f t="shared" si="44"/>
        <v>520.83072</v>
      </c>
      <c r="CZ38" s="2">
        <f t="shared" si="45"/>
        <v>339.23839999999996</v>
      </c>
      <c r="DA38" s="2"/>
      <c r="DB38" s="2"/>
      <c r="DC38" s="2" t="s">
        <v>3</v>
      </c>
      <c r="DD38" s="2" t="s">
        <v>3</v>
      </c>
      <c r="DE38" s="2" t="s">
        <v>31</v>
      </c>
      <c r="DF38" s="2" t="s">
        <v>31</v>
      </c>
      <c r="DG38" s="2" t="s">
        <v>32</v>
      </c>
      <c r="DH38" s="2" t="s">
        <v>3</v>
      </c>
      <c r="DI38" s="2" t="s">
        <v>32</v>
      </c>
      <c r="DJ38" s="2" t="s">
        <v>31</v>
      </c>
      <c r="DK38" s="2" t="s">
        <v>3</v>
      </c>
      <c r="DL38" s="2" t="s">
        <v>33</v>
      </c>
      <c r="DM38" s="2" t="s">
        <v>34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69</v>
      </c>
      <c r="DW38" s="2" t="s">
        <v>69</v>
      </c>
      <c r="DX38" s="2">
        <v>100</v>
      </c>
      <c r="DY38" s="2"/>
      <c r="DZ38" s="2" t="s">
        <v>3</v>
      </c>
      <c r="EA38" s="2" t="s">
        <v>3</v>
      </c>
      <c r="EB38" s="2" t="s">
        <v>3</v>
      </c>
      <c r="EC38" s="2" t="s">
        <v>3</v>
      </c>
      <c r="ED38" s="2"/>
      <c r="EE38" s="2">
        <v>55471593</v>
      </c>
      <c r="EF38" s="2">
        <v>2</v>
      </c>
      <c r="EG38" s="2" t="s">
        <v>35</v>
      </c>
      <c r="EH38" s="2">
        <v>7</v>
      </c>
      <c r="EI38" s="2" t="s">
        <v>71</v>
      </c>
      <c r="EJ38" s="2">
        <v>1</v>
      </c>
      <c r="EK38" s="2">
        <v>7005</v>
      </c>
      <c r="EL38" s="2" t="s">
        <v>72</v>
      </c>
      <c r="EM38" s="2" t="s">
        <v>73</v>
      </c>
      <c r="EN38" s="2"/>
      <c r="EO38" s="2" t="s">
        <v>38</v>
      </c>
      <c r="EP38" s="2"/>
      <c r="EQ38" s="2">
        <v>0</v>
      </c>
      <c r="ER38" s="2">
        <v>2986.5</v>
      </c>
      <c r="ES38" s="2">
        <v>2919.64</v>
      </c>
      <c r="ET38" s="2">
        <v>8.54</v>
      </c>
      <c r="EU38" s="2">
        <v>1.51</v>
      </c>
      <c r="EV38" s="2">
        <v>58.32</v>
      </c>
      <c r="EW38" s="2">
        <v>6.43</v>
      </c>
      <c r="EX38" s="2">
        <v>0.13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6"/>
        <v>0</v>
      </c>
      <c r="FS38" s="2">
        <v>0</v>
      </c>
      <c r="FT38" s="2"/>
      <c r="FU38" s="2"/>
      <c r="FV38" s="2"/>
      <c r="FW38" s="2"/>
      <c r="FX38" s="2">
        <v>104.4</v>
      </c>
      <c r="FY38" s="2">
        <v>68</v>
      </c>
      <c r="FZ38" s="2"/>
      <c r="GA38" s="2" t="s">
        <v>3</v>
      </c>
      <c r="GB38" s="2"/>
      <c r="GC38" s="2"/>
      <c r="GD38" s="2">
        <v>1</v>
      </c>
      <c r="GE38" s="2"/>
      <c r="GF38" s="2">
        <v>-1295508294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47"/>
        <v>0</v>
      </c>
      <c r="GM38" s="2">
        <f t="shared" si="48"/>
        <v>22544.37</v>
      </c>
      <c r="GN38" s="2">
        <f t="shared" si="49"/>
        <v>22544.37</v>
      </c>
      <c r="GO38" s="2">
        <f t="shared" si="50"/>
        <v>0</v>
      </c>
      <c r="GP38" s="2">
        <f t="shared" si="51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2"/>
        <v>0</v>
      </c>
      <c r="GW38" s="2">
        <v>1</v>
      </c>
      <c r="GX38" s="2">
        <f t="shared" si="53"/>
        <v>0</v>
      </c>
      <c r="GY38" s="2"/>
      <c r="GZ38" s="2"/>
      <c r="HA38" s="2">
        <v>0</v>
      </c>
      <c r="HB38" s="2">
        <v>0</v>
      </c>
      <c r="HC38" s="2">
        <f t="shared" si="54"/>
        <v>0</v>
      </c>
      <c r="HD38" s="2"/>
      <c r="HE38" s="2" t="s">
        <v>3</v>
      </c>
      <c r="HF38" s="2" t="s">
        <v>3</v>
      </c>
      <c r="HG38" s="2"/>
      <c r="HH38" s="2"/>
      <c r="HI38" s="2"/>
      <c r="HJ38" s="2"/>
      <c r="HK38" s="2"/>
      <c r="HL38" s="2"/>
      <c r="HM38" s="2" t="s">
        <v>3</v>
      </c>
      <c r="HN38" s="2" t="s">
        <v>74</v>
      </c>
      <c r="HO38" s="2" t="s">
        <v>75</v>
      </c>
      <c r="HP38" s="2" t="s">
        <v>72</v>
      </c>
      <c r="HQ38" s="2" t="s">
        <v>72</v>
      </c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45" ht="12.75">
      <c r="A39">
        <v>17</v>
      </c>
      <c r="B39">
        <v>1</v>
      </c>
      <c r="C39">
        <f>ROW(SmtRes!A38)</f>
        <v>38</v>
      </c>
      <c r="D39">
        <f>ROW(EtalonRes!A38)</f>
        <v>38</v>
      </c>
      <c r="E39" t="s">
        <v>66</v>
      </c>
      <c r="F39" t="s">
        <v>67</v>
      </c>
      <c r="G39" t="s">
        <v>68</v>
      </c>
      <c r="H39" t="s">
        <v>69</v>
      </c>
      <c r="I39">
        <f>ROUND(723.44/100,7)</f>
        <v>7.2344</v>
      </c>
      <c r="J39">
        <v>0</v>
      </c>
      <c r="K39">
        <f>ROUND(723.44/100,7)</f>
        <v>7.2344</v>
      </c>
      <c r="O39">
        <f t="shared" si="21"/>
        <v>161079.74</v>
      </c>
      <c r="P39">
        <f t="shared" si="22"/>
        <v>141938.79</v>
      </c>
      <c r="Q39">
        <f t="shared" si="23"/>
        <v>1023.16</v>
      </c>
      <c r="R39">
        <f t="shared" si="24"/>
        <v>510.55</v>
      </c>
      <c r="S39">
        <f t="shared" si="25"/>
        <v>18117.79</v>
      </c>
      <c r="T39">
        <f t="shared" si="26"/>
        <v>0</v>
      </c>
      <c r="U39">
        <f t="shared" si="27"/>
        <v>53.49477079999999</v>
      </c>
      <c r="V39">
        <f t="shared" si="28"/>
        <v>1.1755900000000001</v>
      </c>
      <c r="W39">
        <f t="shared" si="29"/>
        <v>0</v>
      </c>
      <c r="X39">
        <f t="shared" si="30"/>
        <v>19447.99</v>
      </c>
      <c r="Y39">
        <f t="shared" si="31"/>
        <v>12667.27</v>
      </c>
      <c r="AA39">
        <v>55671155</v>
      </c>
      <c r="AB39">
        <f t="shared" si="32"/>
        <v>2997.39</v>
      </c>
      <c r="AC39">
        <f t="shared" si="33"/>
        <v>2919.64</v>
      </c>
      <c r="AD39">
        <f>ROUND(((((ET39*ROUND(1.25,7)))-((EU39*ROUND(1.25,7))))+AE39),2)</f>
        <v>10.68</v>
      </c>
      <c r="AE39">
        <f>ROUND(((EU39*ROUND(1.25,7))),2)</f>
        <v>1.89</v>
      </c>
      <c r="AF39">
        <f>ROUND(((EV39*ROUND(1.15,7))),2)</f>
        <v>67.07</v>
      </c>
      <c r="AG39">
        <f t="shared" si="34"/>
        <v>0</v>
      </c>
      <c r="AH39">
        <f>((EW39*ROUND(1.15,7)))</f>
        <v>7.394499999999999</v>
      </c>
      <c r="AI39">
        <f>((EX39*ROUND(1.25,7)))</f>
        <v>0.1625</v>
      </c>
      <c r="AJ39">
        <f t="shared" si="35"/>
        <v>0</v>
      </c>
      <c r="AK39">
        <v>2986.5</v>
      </c>
      <c r="AL39">
        <v>2919.64</v>
      </c>
      <c r="AM39">
        <v>8.54</v>
      </c>
      <c r="AN39">
        <v>1.51</v>
      </c>
      <c r="AO39">
        <v>58.32</v>
      </c>
      <c r="AP39">
        <v>0</v>
      </c>
      <c r="AQ39">
        <v>6.43</v>
      </c>
      <c r="AR39">
        <v>0.13</v>
      </c>
      <c r="AS39">
        <v>0</v>
      </c>
      <c r="AT39">
        <v>104.4</v>
      </c>
      <c r="AU39">
        <v>68</v>
      </c>
      <c r="AV39">
        <v>1</v>
      </c>
      <c r="AW39">
        <v>1</v>
      </c>
      <c r="AZ39">
        <v>1</v>
      </c>
      <c r="BA39">
        <v>37.34</v>
      </c>
      <c r="BB39">
        <v>13.24</v>
      </c>
      <c r="BC39">
        <v>6.72</v>
      </c>
      <c r="BH39">
        <v>0</v>
      </c>
      <c r="BI39">
        <v>1</v>
      </c>
      <c r="BJ39" t="s">
        <v>70</v>
      </c>
      <c r="BM39">
        <v>7005</v>
      </c>
      <c r="BN39">
        <v>0</v>
      </c>
      <c r="BO39" t="s">
        <v>41</v>
      </c>
      <c r="BP39">
        <v>1</v>
      </c>
      <c r="BQ39">
        <v>2</v>
      </c>
      <c r="BR39">
        <v>0</v>
      </c>
      <c r="BS39">
        <v>37.34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116</v>
      </c>
      <c r="CA39">
        <v>80</v>
      </c>
      <c r="CE39">
        <v>0</v>
      </c>
      <c r="CF39">
        <v>0</v>
      </c>
      <c r="CG39">
        <v>0</v>
      </c>
      <c r="CM39">
        <v>0</v>
      </c>
      <c r="CN39" t="s">
        <v>285</v>
      </c>
      <c r="CO39">
        <v>0</v>
      </c>
      <c r="CP39">
        <f t="shared" si="36"/>
        <v>161079.74000000002</v>
      </c>
      <c r="CQ39">
        <f t="shared" si="37"/>
        <v>19619.980799999998</v>
      </c>
      <c r="CR39">
        <f>((((ET39*ROUND(1.25,7)))*BB39-((EU39*ROUND(1.25,7)))*BS39)+AE39*BS39)</f>
        <v>141.43034999999998</v>
      </c>
      <c r="CS39">
        <f t="shared" si="38"/>
        <v>70.57260000000001</v>
      </c>
      <c r="CT39">
        <f t="shared" si="39"/>
        <v>2504.3938</v>
      </c>
      <c r="CU39">
        <f t="shared" si="40"/>
        <v>0</v>
      </c>
      <c r="CV39">
        <f t="shared" si="41"/>
        <v>7.394499999999999</v>
      </c>
      <c r="CW39">
        <f t="shared" si="42"/>
        <v>0.1625</v>
      </c>
      <c r="CX39">
        <f t="shared" si="43"/>
        <v>0</v>
      </c>
      <c r="CY39">
        <f t="shared" si="44"/>
        <v>19447.986960000002</v>
      </c>
      <c r="CZ39">
        <f t="shared" si="45"/>
        <v>12667.271200000001</v>
      </c>
      <c r="DE39" t="s">
        <v>31</v>
      </c>
      <c r="DF39" t="s">
        <v>31</v>
      </c>
      <c r="DG39" t="s">
        <v>32</v>
      </c>
      <c r="DI39" t="s">
        <v>32</v>
      </c>
      <c r="DJ39" t="s">
        <v>31</v>
      </c>
      <c r="DL39" t="s">
        <v>33</v>
      </c>
      <c r="DM39" t="s">
        <v>34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69</v>
      </c>
      <c r="DW39" t="s">
        <v>69</v>
      </c>
      <c r="DX39">
        <v>100</v>
      </c>
      <c r="EE39">
        <v>55471593</v>
      </c>
      <c r="EF39">
        <v>2</v>
      </c>
      <c r="EG39" t="s">
        <v>35</v>
      </c>
      <c r="EH39">
        <v>7</v>
      </c>
      <c r="EI39" t="s">
        <v>71</v>
      </c>
      <c r="EJ39">
        <v>1</v>
      </c>
      <c r="EK39">
        <v>7005</v>
      </c>
      <c r="EL39" t="s">
        <v>72</v>
      </c>
      <c r="EM39" t="s">
        <v>73</v>
      </c>
      <c r="EO39" t="s">
        <v>38</v>
      </c>
      <c r="EQ39">
        <v>0</v>
      </c>
      <c r="ER39">
        <v>2986.5</v>
      </c>
      <c r="ES39">
        <v>2919.64</v>
      </c>
      <c r="ET39">
        <v>8.54</v>
      </c>
      <c r="EU39">
        <v>1.51</v>
      </c>
      <c r="EV39">
        <v>58.32</v>
      </c>
      <c r="EW39">
        <v>6.43</v>
      </c>
      <c r="EX39">
        <v>0.13</v>
      </c>
      <c r="EY39">
        <v>0</v>
      </c>
      <c r="FQ39">
        <v>0</v>
      </c>
      <c r="FR39">
        <f t="shared" si="46"/>
        <v>0</v>
      </c>
      <c r="FS39">
        <v>0</v>
      </c>
      <c r="FX39">
        <v>104.4</v>
      </c>
      <c r="FY39">
        <v>68</v>
      </c>
      <c r="GD39">
        <v>1</v>
      </c>
      <c r="GF39">
        <v>-1295508294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47"/>
        <v>0</v>
      </c>
      <c r="GM39">
        <f t="shared" si="48"/>
        <v>193195</v>
      </c>
      <c r="GN39">
        <f t="shared" si="49"/>
        <v>193195</v>
      </c>
      <c r="GO39">
        <f t="shared" si="50"/>
        <v>0</v>
      </c>
      <c r="GP39">
        <f t="shared" si="51"/>
        <v>0</v>
      </c>
      <c r="GR39">
        <v>0</v>
      </c>
      <c r="GS39">
        <v>0</v>
      </c>
      <c r="GT39">
        <v>0</v>
      </c>
      <c r="GV39">
        <f t="shared" si="52"/>
        <v>0</v>
      </c>
      <c r="GW39">
        <v>1</v>
      </c>
      <c r="GX39">
        <f t="shared" si="53"/>
        <v>0</v>
      </c>
      <c r="HA39">
        <v>0</v>
      </c>
      <c r="HB39">
        <v>0</v>
      </c>
      <c r="HC39">
        <f t="shared" si="54"/>
        <v>0</v>
      </c>
      <c r="HN39" t="s">
        <v>74</v>
      </c>
      <c r="HO39" t="s">
        <v>75</v>
      </c>
      <c r="HP39" t="s">
        <v>72</v>
      </c>
      <c r="HQ39" t="s">
        <v>72</v>
      </c>
      <c r="IK39">
        <v>0</v>
      </c>
    </row>
    <row r="41" spans="1:206" ht="12.75">
      <c r="A41" s="3">
        <v>51</v>
      </c>
      <c r="B41" s="3">
        <f>B24</f>
        <v>1</v>
      </c>
      <c r="C41" s="3">
        <f>A24</f>
        <v>4</v>
      </c>
      <c r="D41" s="3">
        <f>ROW(A24)</f>
        <v>24</v>
      </c>
      <c r="E41" s="3"/>
      <c r="F41" s="3" t="str">
        <f>IF(F24&lt;&gt;"",F24,"")</f>
        <v>Новый раздел</v>
      </c>
      <c r="G41" s="3" t="str">
        <f>IF(G24&lt;&gt;"",G24,"")</f>
        <v>Замена стекол</v>
      </c>
      <c r="H41" s="3">
        <v>0</v>
      </c>
      <c r="I41" s="3"/>
      <c r="J41" s="3"/>
      <c r="K41" s="3"/>
      <c r="L41" s="3"/>
      <c r="M41" s="3"/>
      <c r="N41" s="3"/>
      <c r="O41" s="3">
        <f aca="true" t="shared" si="59" ref="O41:T41">ROUND(AB41,2)</f>
        <v>43339.48</v>
      </c>
      <c r="P41" s="3">
        <f t="shared" si="59"/>
        <v>39054.03</v>
      </c>
      <c r="Q41" s="3">
        <f t="shared" si="59"/>
        <v>150.61</v>
      </c>
      <c r="R41" s="3">
        <f t="shared" si="59"/>
        <v>32.18</v>
      </c>
      <c r="S41" s="3">
        <f t="shared" si="59"/>
        <v>4134.84</v>
      </c>
      <c r="T41" s="3">
        <f t="shared" si="59"/>
        <v>0</v>
      </c>
      <c r="U41" s="3">
        <f>AH41</f>
        <v>452.9579708</v>
      </c>
      <c r="V41" s="3">
        <f>AI41</f>
        <v>2.65639</v>
      </c>
      <c r="W41" s="3">
        <f>ROUND(AJ41,2)</f>
        <v>0</v>
      </c>
      <c r="X41" s="3">
        <f>ROUND(AK41,2)</f>
        <v>3847.36</v>
      </c>
      <c r="Y41" s="3">
        <f>ROUND(AL41,2)</f>
        <v>2028.13</v>
      </c>
      <c r="Z41" s="3"/>
      <c r="AA41" s="3"/>
      <c r="AB41" s="3">
        <f>ROUND(SUMIF(AA28:AA39,"=55670666",O28:O39),2)</f>
        <v>43339.48</v>
      </c>
      <c r="AC41" s="3">
        <f>ROUND(SUMIF(AA28:AA39,"=55670666",P28:P39),2)</f>
        <v>39054.03</v>
      </c>
      <c r="AD41" s="3">
        <f>ROUND(SUMIF(AA28:AA39,"=55670666",Q28:Q39),2)</f>
        <v>150.61</v>
      </c>
      <c r="AE41" s="3">
        <f>ROUND(SUMIF(AA28:AA39,"=55670666",R28:R39),2)</f>
        <v>32.18</v>
      </c>
      <c r="AF41" s="3">
        <f>ROUND(SUMIF(AA28:AA39,"=55670666",S28:S39),2)</f>
        <v>4134.84</v>
      </c>
      <c r="AG41" s="3">
        <f>ROUND(SUMIF(AA28:AA39,"=55670666",T28:T39),2)</f>
        <v>0</v>
      </c>
      <c r="AH41" s="3">
        <f>SUMIF(AA28:AA39,"=55670666",U28:U39)</f>
        <v>452.9579708</v>
      </c>
      <c r="AI41" s="3">
        <f>SUMIF(AA28:AA39,"=55670666",V28:V39)</f>
        <v>2.65639</v>
      </c>
      <c r="AJ41" s="3">
        <f>ROUND(SUMIF(AA28:AA39,"=55670666",W28:W39),2)</f>
        <v>0</v>
      </c>
      <c r="AK41" s="3">
        <f>ROUND(SUMIF(AA28:AA39,"=55670666",X28:X39),2)</f>
        <v>3847.36</v>
      </c>
      <c r="AL41" s="3">
        <f>ROUND(SUMIF(AA28:AA39,"=55670666",Y28:Y39),2)</f>
        <v>2028.13</v>
      </c>
      <c r="AM41" s="3"/>
      <c r="AN41" s="3"/>
      <c r="AO41" s="3">
        <f aca="true" t="shared" si="60" ref="AO41:BD41">ROUND(BX41,2)</f>
        <v>0</v>
      </c>
      <c r="AP41" s="3">
        <f t="shared" si="60"/>
        <v>0</v>
      </c>
      <c r="AQ41" s="3">
        <f t="shared" si="60"/>
        <v>0</v>
      </c>
      <c r="AR41" s="3">
        <f t="shared" si="60"/>
        <v>49214.97</v>
      </c>
      <c r="AS41" s="3">
        <f t="shared" si="60"/>
        <v>49214.97</v>
      </c>
      <c r="AT41" s="3">
        <f t="shared" si="60"/>
        <v>0</v>
      </c>
      <c r="AU41" s="3">
        <f t="shared" si="60"/>
        <v>0</v>
      </c>
      <c r="AV41" s="3">
        <f t="shared" si="60"/>
        <v>39054.03</v>
      </c>
      <c r="AW41" s="3">
        <f t="shared" si="60"/>
        <v>39054.03</v>
      </c>
      <c r="AX41" s="3">
        <f t="shared" si="60"/>
        <v>0</v>
      </c>
      <c r="AY41" s="3">
        <f t="shared" si="60"/>
        <v>39054.03</v>
      </c>
      <c r="AZ41" s="3">
        <f t="shared" si="60"/>
        <v>0</v>
      </c>
      <c r="BA41" s="3">
        <f t="shared" si="60"/>
        <v>0</v>
      </c>
      <c r="BB41" s="3">
        <f t="shared" si="60"/>
        <v>0</v>
      </c>
      <c r="BC41" s="3">
        <f t="shared" si="60"/>
        <v>0</v>
      </c>
      <c r="BD41" s="3">
        <f t="shared" si="60"/>
        <v>0</v>
      </c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>
        <f>ROUND(SUMIF(AA28:AA39,"=55670666",FQ28:FQ39),2)</f>
        <v>0</v>
      </c>
      <c r="BY41" s="3">
        <f>ROUND(SUMIF(AA28:AA39,"=55670666",FR28:FR39),2)</f>
        <v>0</v>
      </c>
      <c r="BZ41" s="3">
        <f>ROUND(SUMIF(AA28:AA39,"=55670666",GL28:GL39),2)</f>
        <v>0</v>
      </c>
      <c r="CA41" s="3">
        <f>ROUND(SUMIF(AA28:AA39,"=55670666",GM28:GM39),2)</f>
        <v>49214.97</v>
      </c>
      <c r="CB41" s="3">
        <f>ROUND(SUMIF(AA28:AA39,"=55670666",GN28:GN39),2)</f>
        <v>49214.97</v>
      </c>
      <c r="CC41" s="3">
        <f>ROUND(SUMIF(AA28:AA39,"=55670666",GO28:GO39),2)</f>
        <v>0</v>
      </c>
      <c r="CD41" s="3">
        <f>ROUND(SUMIF(AA28:AA39,"=55670666",GP28:GP39),2)</f>
        <v>0</v>
      </c>
      <c r="CE41" s="3">
        <f>AC41-BX41</f>
        <v>39054.03</v>
      </c>
      <c r="CF41" s="3">
        <f>AC41-BY41</f>
        <v>39054.03</v>
      </c>
      <c r="CG41" s="3">
        <f>BX41-BZ41</f>
        <v>0</v>
      </c>
      <c r="CH41" s="3">
        <f>AC41-BX41-BY41+BZ41</f>
        <v>39054.03</v>
      </c>
      <c r="CI41" s="3">
        <f>BY41-BZ41</f>
        <v>0</v>
      </c>
      <c r="CJ41" s="3">
        <f>ROUND(SUMIF(AA28:AA39,"=55670666",GX28:GX39),2)</f>
        <v>0</v>
      </c>
      <c r="CK41" s="3">
        <f>ROUND(SUMIF(AA28:AA39,"=55670666",GY28:GY39),2)</f>
        <v>0</v>
      </c>
      <c r="CL41" s="3">
        <f>ROUND(SUMIF(AA28:AA39,"=55670666",GZ28:GZ39),2)</f>
        <v>0</v>
      </c>
      <c r="CM41" s="3">
        <f>ROUND(SUMIF(AA28:AA39,"=55670666",HD28:HD39),2)</f>
        <v>0</v>
      </c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4">
        <f aca="true" t="shared" si="61" ref="DG41:DL41">ROUND(DT41,2)</f>
        <v>418832.76</v>
      </c>
      <c r="DH41" s="4">
        <f t="shared" si="61"/>
        <v>262443.05</v>
      </c>
      <c r="DI41" s="4">
        <f t="shared" si="61"/>
        <v>1994.53</v>
      </c>
      <c r="DJ41" s="4">
        <f t="shared" si="61"/>
        <v>1201.8</v>
      </c>
      <c r="DK41" s="4">
        <f t="shared" si="61"/>
        <v>154395.18</v>
      </c>
      <c r="DL41" s="4">
        <f t="shared" si="61"/>
        <v>0</v>
      </c>
      <c r="DM41" s="4">
        <f>DZ41</f>
        <v>452.9579708</v>
      </c>
      <c r="DN41" s="4">
        <f>EA41</f>
        <v>2.65639</v>
      </c>
      <c r="DO41" s="4">
        <f>ROUND(EB41,2)</f>
        <v>0</v>
      </c>
      <c r="DP41" s="4">
        <f>ROUND(EC41,2)</f>
        <v>143660.9</v>
      </c>
      <c r="DQ41" s="4">
        <f>ROUND(ED41,2)</f>
        <v>75730.53</v>
      </c>
      <c r="DR41" s="4"/>
      <c r="DS41" s="4"/>
      <c r="DT41" s="4">
        <f>ROUND(SUMIF(AA28:AA39,"=55671155",O28:O39),2)</f>
        <v>418832.76</v>
      </c>
      <c r="DU41" s="4">
        <f>ROUND(SUMIF(AA28:AA39,"=55671155",P28:P39),2)</f>
        <v>262443.05</v>
      </c>
      <c r="DV41" s="4">
        <f>ROUND(SUMIF(AA28:AA39,"=55671155",Q28:Q39),2)</f>
        <v>1994.53</v>
      </c>
      <c r="DW41" s="4">
        <f>ROUND(SUMIF(AA28:AA39,"=55671155",R28:R39),2)</f>
        <v>1201.8</v>
      </c>
      <c r="DX41" s="4">
        <f>ROUND(SUMIF(AA28:AA39,"=55671155",S28:S39),2)</f>
        <v>154395.18</v>
      </c>
      <c r="DY41" s="4">
        <f>ROUND(SUMIF(AA28:AA39,"=55671155",T28:T39),2)</f>
        <v>0</v>
      </c>
      <c r="DZ41" s="4">
        <f>SUMIF(AA28:AA39,"=55671155",U28:U39)</f>
        <v>452.9579708</v>
      </c>
      <c r="EA41" s="4">
        <f>SUMIF(AA28:AA39,"=55671155",V28:V39)</f>
        <v>2.65639</v>
      </c>
      <c r="EB41" s="4">
        <f>ROUND(SUMIF(AA28:AA39,"=55671155",W28:W39),2)</f>
        <v>0</v>
      </c>
      <c r="EC41" s="4">
        <f>ROUND(SUMIF(AA28:AA39,"=55671155",X28:X39),2)</f>
        <v>143660.9</v>
      </c>
      <c r="ED41" s="4">
        <f>ROUND(SUMIF(AA28:AA39,"=55671155",Y28:Y39),2)</f>
        <v>75730.53</v>
      </c>
      <c r="EE41" s="4"/>
      <c r="EF41" s="4"/>
      <c r="EG41" s="4">
        <f aca="true" t="shared" si="62" ref="EG41:EV41">ROUND(FP41,2)</f>
        <v>0</v>
      </c>
      <c r="EH41" s="4">
        <f t="shared" si="62"/>
        <v>0</v>
      </c>
      <c r="EI41" s="4">
        <f t="shared" si="62"/>
        <v>0</v>
      </c>
      <c r="EJ41" s="4">
        <f t="shared" si="62"/>
        <v>638224.19</v>
      </c>
      <c r="EK41" s="4">
        <f t="shared" si="62"/>
        <v>638224.19</v>
      </c>
      <c r="EL41" s="4">
        <f t="shared" si="62"/>
        <v>0</v>
      </c>
      <c r="EM41" s="4">
        <f t="shared" si="62"/>
        <v>0</v>
      </c>
      <c r="EN41" s="4">
        <f t="shared" si="62"/>
        <v>262443.05</v>
      </c>
      <c r="EO41" s="4">
        <f t="shared" si="62"/>
        <v>262443.05</v>
      </c>
      <c r="EP41" s="4">
        <f t="shared" si="62"/>
        <v>0</v>
      </c>
      <c r="EQ41" s="4">
        <f t="shared" si="62"/>
        <v>262443.05</v>
      </c>
      <c r="ER41" s="4">
        <f t="shared" si="62"/>
        <v>0</v>
      </c>
      <c r="ES41" s="4">
        <f t="shared" si="62"/>
        <v>0</v>
      </c>
      <c r="ET41" s="4">
        <f t="shared" si="62"/>
        <v>0</v>
      </c>
      <c r="EU41" s="4">
        <f t="shared" si="62"/>
        <v>0</v>
      </c>
      <c r="EV41" s="4">
        <f t="shared" si="62"/>
        <v>0</v>
      </c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>
        <f>ROUND(SUMIF(AA28:AA39,"=55671155",FQ28:FQ39),2)</f>
        <v>0</v>
      </c>
      <c r="FQ41" s="4">
        <f>ROUND(SUMIF(AA28:AA39,"=55671155",FR28:FR39),2)</f>
        <v>0</v>
      </c>
      <c r="FR41" s="4">
        <f>ROUND(SUMIF(AA28:AA39,"=55671155",GL28:GL39),2)</f>
        <v>0</v>
      </c>
      <c r="FS41" s="4">
        <f>ROUND(SUMIF(AA28:AA39,"=55671155",GM28:GM39),2)</f>
        <v>638224.19</v>
      </c>
      <c r="FT41" s="4">
        <f>ROUND(SUMIF(AA28:AA39,"=55671155",GN28:GN39),2)</f>
        <v>638224.19</v>
      </c>
      <c r="FU41" s="4">
        <f>ROUND(SUMIF(AA28:AA39,"=55671155",GO28:GO39),2)</f>
        <v>0</v>
      </c>
      <c r="FV41" s="4">
        <f>ROUND(SUMIF(AA28:AA39,"=55671155",GP28:GP39),2)</f>
        <v>0</v>
      </c>
      <c r="FW41" s="4">
        <f>DU41-FP41</f>
        <v>262443.05</v>
      </c>
      <c r="FX41" s="4">
        <f>DU41-FQ41</f>
        <v>262443.05</v>
      </c>
      <c r="FY41" s="4">
        <f>FP41-FR41</f>
        <v>0</v>
      </c>
      <c r="FZ41" s="4">
        <f>DU41-FP41-FQ41+FR41</f>
        <v>262443.05</v>
      </c>
      <c r="GA41" s="4">
        <f>FQ41-FR41</f>
        <v>0</v>
      </c>
      <c r="GB41" s="4">
        <f>ROUND(SUMIF(AA28:AA39,"=55671155",GX28:GX39),2)</f>
        <v>0</v>
      </c>
      <c r="GC41" s="4">
        <f>ROUND(SUMIF(AA28:AA39,"=55671155",GY28:GY39),2)</f>
        <v>0</v>
      </c>
      <c r="GD41" s="4">
        <f>ROUND(SUMIF(AA28:AA39,"=55671155",GZ28:GZ39),2)</f>
        <v>0</v>
      </c>
      <c r="GE41" s="4">
        <f>ROUND(SUMIF(AA28:AA39,"=55671155",HD28:HD39),2)</f>
        <v>0</v>
      </c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>
        <v>0</v>
      </c>
    </row>
    <row r="43" spans="1:28" ht="12.75">
      <c r="A43" s="5">
        <v>50</v>
      </c>
      <c r="B43" s="5">
        <v>0</v>
      </c>
      <c r="C43" s="5">
        <v>0</v>
      </c>
      <c r="D43" s="5">
        <v>1</v>
      </c>
      <c r="E43" s="5">
        <v>201</v>
      </c>
      <c r="F43" s="5">
        <f>ROUND(Source!O41,O43)</f>
        <v>43339.48</v>
      </c>
      <c r="G43" s="5" t="s">
        <v>76</v>
      </c>
      <c r="H43" s="5" t="s">
        <v>77</v>
      </c>
      <c r="I43" s="5"/>
      <c r="J43" s="5"/>
      <c r="K43" s="5">
        <v>201</v>
      </c>
      <c r="L43" s="5">
        <v>1</v>
      </c>
      <c r="M43" s="5">
        <v>3</v>
      </c>
      <c r="N43" s="5" t="s">
        <v>3</v>
      </c>
      <c r="O43" s="5">
        <v>2</v>
      </c>
      <c r="P43" s="5">
        <f>ROUND(Source!DG41,O43)</f>
        <v>418832.76</v>
      </c>
      <c r="Q43" s="5"/>
      <c r="R43" s="5"/>
      <c r="S43" s="5"/>
      <c r="T43" s="5"/>
      <c r="U43" s="5"/>
      <c r="V43" s="5"/>
      <c r="W43" s="5">
        <v>43339.479999999996</v>
      </c>
      <c r="X43" s="5">
        <v>1</v>
      </c>
      <c r="Y43" s="5">
        <v>43339.479999999996</v>
      </c>
      <c r="Z43" s="5">
        <v>418832.76</v>
      </c>
      <c r="AA43" s="5">
        <v>1</v>
      </c>
      <c r="AB43" s="5">
        <v>418832.76</v>
      </c>
    </row>
    <row r="44" spans="1:28" ht="12.75">
      <c r="A44" s="5">
        <v>50</v>
      </c>
      <c r="B44" s="5">
        <v>0</v>
      </c>
      <c r="C44" s="5">
        <v>0</v>
      </c>
      <c r="D44" s="5">
        <v>1</v>
      </c>
      <c r="E44" s="5">
        <v>202</v>
      </c>
      <c r="F44" s="5">
        <f>ROUND(Source!P41,O44)</f>
        <v>39054.03</v>
      </c>
      <c r="G44" s="5" t="s">
        <v>78</v>
      </c>
      <c r="H44" s="5" t="s">
        <v>79</v>
      </c>
      <c r="I44" s="5"/>
      <c r="J44" s="5"/>
      <c r="K44" s="5">
        <v>202</v>
      </c>
      <c r="L44" s="5">
        <v>2</v>
      </c>
      <c r="M44" s="5">
        <v>3</v>
      </c>
      <c r="N44" s="5" t="s">
        <v>3</v>
      </c>
      <c r="O44" s="5">
        <v>2</v>
      </c>
      <c r="P44" s="5">
        <f>ROUND(Source!DH41,O44)</f>
        <v>262443.05</v>
      </c>
      <c r="Q44" s="5"/>
      <c r="R44" s="5"/>
      <c r="S44" s="5"/>
      <c r="T44" s="5"/>
      <c r="U44" s="5"/>
      <c r="V44" s="5"/>
      <c r="W44" s="5">
        <v>39054.03</v>
      </c>
      <c r="X44" s="5">
        <v>1</v>
      </c>
      <c r="Y44" s="5">
        <v>39054.03</v>
      </c>
      <c r="Z44" s="5">
        <v>262443.05</v>
      </c>
      <c r="AA44" s="5">
        <v>1</v>
      </c>
      <c r="AB44" s="5">
        <v>262443.05</v>
      </c>
    </row>
    <row r="45" spans="1:28" ht="12.75">
      <c r="A45" s="5">
        <v>50</v>
      </c>
      <c r="B45" s="5">
        <v>0</v>
      </c>
      <c r="C45" s="5">
        <v>0</v>
      </c>
      <c r="D45" s="5">
        <v>1</v>
      </c>
      <c r="E45" s="5">
        <v>222</v>
      </c>
      <c r="F45" s="5">
        <f>ROUND(Source!AO41,O45)</f>
        <v>0</v>
      </c>
      <c r="G45" s="5" t="s">
        <v>80</v>
      </c>
      <c r="H45" s="5" t="s">
        <v>81</v>
      </c>
      <c r="I45" s="5"/>
      <c r="J45" s="5"/>
      <c r="K45" s="5">
        <v>222</v>
      </c>
      <c r="L45" s="5">
        <v>3</v>
      </c>
      <c r="M45" s="5">
        <v>3</v>
      </c>
      <c r="N45" s="5" t="s">
        <v>3</v>
      </c>
      <c r="O45" s="5">
        <v>2</v>
      </c>
      <c r="P45" s="5">
        <f>ROUND(Source!EG41,O45)</f>
        <v>0</v>
      </c>
      <c r="Q45" s="5"/>
      <c r="R45" s="5"/>
      <c r="S45" s="5"/>
      <c r="T45" s="5"/>
      <c r="U45" s="5"/>
      <c r="V45" s="5"/>
      <c r="W45" s="5">
        <v>0</v>
      </c>
      <c r="X45" s="5">
        <v>1</v>
      </c>
      <c r="Y45" s="5">
        <v>0</v>
      </c>
      <c r="Z45" s="5">
        <v>0</v>
      </c>
      <c r="AA45" s="5">
        <v>1</v>
      </c>
      <c r="AB45" s="5">
        <v>0</v>
      </c>
    </row>
    <row r="46" spans="1:28" ht="12.75">
      <c r="A46" s="5">
        <v>50</v>
      </c>
      <c r="B46" s="5">
        <v>0</v>
      </c>
      <c r="C46" s="5">
        <v>0</v>
      </c>
      <c r="D46" s="5">
        <v>1</v>
      </c>
      <c r="E46" s="5">
        <v>225</v>
      </c>
      <c r="F46" s="5">
        <f>ROUND(Source!AV41,O46)</f>
        <v>39054.03</v>
      </c>
      <c r="G46" s="5" t="s">
        <v>82</v>
      </c>
      <c r="H46" s="5" t="s">
        <v>83</v>
      </c>
      <c r="I46" s="5"/>
      <c r="J46" s="5"/>
      <c r="K46" s="5">
        <v>225</v>
      </c>
      <c r="L46" s="5">
        <v>4</v>
      </c>
      <c r="M46" s="5">
        <v>3</v>
      </c>
      <c r="N46" s="5" t="s">
        <v>3</v>
      </c>
      <c r="O46" s="5">
        <v>2</v>
      </c>
      <c r="P46" s="5">
        <f>ROUND(Source!EN41,O46)</f>
        <v>262443.05</v>
      </c>
      <c r="Q46" s="5"/>
      <c r="R46" s="5"/>
      <c r="S46" s="5"/>
      <c r="T46" s="5"/>
      <c r="U46" s="5"/>
      <c r="V46" s="5"/>
      <c r="W46" s="5">
        <v>39054.03</v>
      </c>
      <c r="X46" s="5">
        <v>1</v>
      </c>
      <c r="Y46" s="5">
        <v>39054.03</v>
      </c>
      <c r="Z46" s="5">
        <v>262443.05</v>
      </c>
      <c r="AA46" s="5">
        <v>1</v>
      </c>
      <c r="AB46" s="5">
        <v>262443.05</v>
      </c>
    </row>
    <row r="47" spans="1:28" ht="12.75">
      <c r="A47" s="5">
        <v>50</v>
      </c>
      <c r="B47" s="5">
        <v>0</v>
      </c>
      <c r="C47" s="5">
        <v>0</v>
      </c>
      <c r="D47" s="5">
        <v>1</v>
      </c>
      <c r="E47" s="5">
        <v>226</v>
      </c>
      <c r="F47" s="5">
        <f>ROUND(Source!AW41,O47)</f>
        <v>39054.03</v>
      </c>
      <c r="G47" s="5" t="s">
        <v>84</v>
      </c>
      <c r="H47" s="5" t="s">
        <v>85</v>
      </c>
      <c r="I47" s="5"/>
      <c r="J47" s="5"/>
      <c r="K47" s="5">
        <v>226</v>
      </c>
      <c r="L47" s="5">
        <v>5</v>
      </c>
      <c r="M47" s="5">
        <v>3</v>
      </c>
      <c r="N47" s="5" t="s">
        <v>3</v>
      </c>
      <c r="O47" s="5">
        <v>2</v>
      </c>
      <c r="P47" s="5">
        <f>ROUND(Source!EO41,O47)</f>
        <v>262443.05</v>
      </c>
      <c r="Q47" s="5"/>
      <c r="R47" s="5"/>
      <c r="S47" s="5"/>
      <c r="T47" s="5"/>
      <c r="U47" s="5"/>
      <c r="V47" s="5"/>
      <c r="W47" s="5">
        <v>39054.03</v>
      </c>
      <c r="X47" s="5">
        <v>1</v>
      </c>
      <c r="Y47" s="5">
        <v>39054.03</v>
      </c>
      <c r="Z47" s="5">
        <v>262443.05</v>
      </c>
      <c r="AA47" s="5">
        <v>1</v>
      </c>
      <c r="AB47" s="5">
        <v>262443.05</v>
      </c>
    </row>
    <row r="48" spans="1:28" ht="12.75">
      <c r="A48" s="5">
        <v>50</v>
      </c>
      <c r="B48" s="5">
        <v>0</v>
      </c>
      <c r="C48" s="5">
        <v>0</v>
      </c>
      <c r="D48" s="5">
        <v>1</v>
      </c>
      <c r="E48" s="5">
        <v>227</v>
      </c>
      <c r="F48" s="5">
        <f>ROUND(Source!AX41,O48)</f>
        <v>0</v>
      </c>
      <c r="G48" s="5" t="s">
        <v>86</v>
      </c>
      <c r="H48" s="5" t="s">
        <v>87</v>
      </c>
      <c r="I48" s="5"/>
      <c r="J48" s="5"/>
      <c r="K48" s="5">
        <v>227</v>
      </c>
      <c r="L48" s="5">
        <v>6</v>
      </c>
      <c r="M48" s="5">
        <v>3</v>
      </c>
      <c r="N48" s="5" t="s">
        <v>3</v>
      </c>
      <c r="O48" s="5">
        <v>2</v>
      </c>
      <c r="P48" s="5">
        <f>ROUND(Source!EP41,O48)</f>
        <v>0</v>
      </c>
      <c r="Q48" s="5"/>
      <c r="R48" s="5"/>
      <c r="S48" s="5"/>
      <c r="T48" s="5"/>
      <c r="U48" s="5"/>
      <c r="V48" s="5"/>
      <c r="W48" s="5">
        <v>0</v>
      </c>
      <c r="X48" s="5">
        <v>1</v>
      </c>
      <c r="Y48" s="5">
        <v>0</v>
      </c>
      <c r="Z48" s="5">
        <v>0</v>
      </c>
      <c r="AA48" s="5">
        <v>1</v>
      </c>
      <c r="AB48" s="5">
        <v>0</v>
      </c>
    </row>
    <row r="49" spans="1:28" ht="12.75">
      <c r="A49" s="5">
        <v>50</v>
      </c>
      <c r="B49" s="5">
        <v>0</v>
      </c>
      <c r="C49" s="5">
        <v>0</v>
      </c>
      <c r="D49" s="5">
        <v>1</v>
      </c>
      <c r="E49" s="5">
        <v>228</v>
      </c>
      <c r="F49" s="5">
        <f>ROUND(Source!AY41,O49)</f>
        <v>39054.03</v>
      </c>
      <c r="G49" s="5" t="s">
        <v>88</v>
      </c>
      <c r="H49" s="5" t="s">
        <v>89</v>
      </c>
      <c r="I49" s="5"/>
      <c r="J49" s="5"/>
      <c r="K49" s="5">
        <v>228</v>
      </c>
      <c r="L49" s="5">
        <v>7</v>
      </c>
      <c r="M49" s="5">
        <v>3</v>
      </c>
      <c r="N49" s="5" t="s">
        <v>3</v>
      </c>
      <c r="O49" s="5">
        <v>2</v>
      </c>
      <c r="P49" s="5">
        <f>ROUND(Source!EQ41,O49)</f>
        <v>262443.05</v>
      </c>
      <c r="Q49" s="5"/>
      <c r="R49" s="5"/>
      <c r="S49" s="5"/>
      <c r="T49" s="5"/>
      <c r="U49" s="5"/>
      <c r="V49" s="5"/>
      <c r="W49" s="5">
        <v>39054.03</v>
      </c>
      <c r="X49" s="5">
        <v>1</v>
      </c>
      <c r="Y49" s="5">
        <v>39054.03</v>
      </c>
      <c r="Z49" s="5">
        <v>262443.05</v>
      </c>
      <c r="AA49" s="5">
        <v>1</v>
      </c>
      <c r="AB49" s="5">
        <v>262443.05</v>
      </c>
    </row>
    <row r="50" spans="1:28" ht="12.75">
      <c r="A50" s="5">
        <v>50</v>
      </c>
      <c r="B50" s="5">
        <v>0</v>
      </c>
      <c r="C50" s="5">
        <v>0</v>
      </c>
      <c r="D50" s="5">
        <v>1</v>
      </c>
      <c r="E50" s="5">
        <v>216</v>
      </c>
      <c r="F50" s="5">
        <f>ROUND(Source!AP41,O50)</f>
        <v>0</v>
      </c>
      <c r="G50" s="5" t="s">
        <v>90</v>
      </c>
      <c r="H50" s="5" t="s">
        <v>91</v>
      </c>
      <c r="I50" s="5"/>
      <c r="J50" s="5"/>
      <c r="K50" s="5">
        <v>216</v>
      </c>
      <c r="L50" s="5">
        <v>8</v>
      </c>
      <c r="M50" s="5">
        <v>3</v>
      </c>
      <c r="N50" s="5" t="s">
        <v>3</v>
      </c>
      <c r="O50" s="5">
        <v>2</v>
      </c>
      <c r="P50" s="5">
        <f>ROUND(Source!EH41,O50)</f>
        <v>0</v>
      </c>
      <c r="Q50" s="5"/>
      <c r="R50" s="5"/>
      <c r="S50" s="5"/>
      <c r="T50" s="5"/>
      <c r="U50" s="5"/>
      <c r="V50" s="5"/>
      <c r="W50" s="5">
        <v>0</v>
      </c>
      <c r="X50" s="5">
        <v>1</v>
      </c>
      <c r="Y50" s="5">
        <v>0</v>
      </c>
      <c r="Z50" s="5">
        <v>0</v>
      </c>
      <c r="AA50" s="5">
        <v>1</v>
      </c>
      <c r="AB50" s="5">
        <v>0</v>
      </c>
    </row>
    <row r="51" spans="1:28" ht="12.75">
      <c r="A51" s="5">
        <v>50</v>
      </c>
      <c r="B51" s="5">
        <v>0</v>
      </c>
      <c r="C51" s="5">
        <v>0</v>
      </c>
      <c r="D51" s="5">
        <v>1</v>
      </c>
      <c r="E51" s="5">
        <v>223</v>
      </c>
      <c r="F51" s="5">
        <f>ROUND(Source!AQ41,O51)</f>
        <v>0</v>
      </c>
      <c r="G51" s="5" t="s">
        <v>92</v>
      </c>
      <c r="H51" s="5" t="s">
        <v>93</v>
      </c>
      <c r="I51" s="5"/>
      <c r="J51" s="5"/>
      <c r="K51" s="5">
        <v>223</v>
      </c>
      <c r="L51" s="5">
        <v>9</v>
      </c>
      <c r="M51" s="5">
        <v>3</v>
      </c>
      <c r="N51" s="5" t="s">
        <v>3</v>
      </c>
      <c r="O51" s="5">
        <v>2</v>
      </c>
      <c r="P51" s="5">
        <f>ROUND(Source!EI41,O51)</f>
        <v>0</v>
      </c>
      <c r="Q51" s="5"/>
      <c r="R51" s="5"/>
      <c r="S51" s="5"/>
      <c r="T51" s="5"/>
      <c r="U51" s="5"/>
      <c r="V51" s="5"/>
      <c r="W51" s="5">
        <v>0</v>
      </c>
      <c r="X51" s="5">
        <v>1</v>
      </c>
      <c r="Y51" s="5">
        <v>0</v>
      </c>
      <c r="Z51" s="5">
        <v>0</v>
      </c>
      <c r="AA51" s="5">
        <v>1</v>
      </c>
      <c r="AB51" s="5">
        <v>0</v>
      </c>
    </row>
    <row r="52" spans="1:28" ht="12.75">
      <c r="A52" s="5">
        <v>50</v>
      </c>
      <c r="B52" s="5">
        <v>0</v>
      </c>
      <c r="C52" s="5">
        <v>0</v>
      </c>
      <c r="D52" s="5">
        <v>1</v>
      </c>
      <c r="E52" s="5">
        <v>229</v>
      </c>
      <c r="F52" s="5">
        <f>ROUND(Source!AZ41,O52)</f>
        <v>0</v>
      </c>
      <c r="G52" s="5" t="s">
        <v>94</v>
      </c>
      <c r="H52" s="5" t="s">
        <v>95</v>
      </c>
      <c r="I52" s="5"/>
      <c r="J52" s="5"/>
      <c r="K52" s="5">
        <v>229</v>
      </c>
      <c r="L52" s="5">
        <v>10</v>
      </c>
      <c r="M52" s="5">
        <v>3</v>
      </c>
      <c r="N52" s="5" t="s">
        <v>3</v>
      </c>
      <c r="O52" s="5">
        <v>2</v>
      </c>
      <c r="P52" s="5">
        <f>ROUND(Source!ER41,O52)</f>
        <v>0</v>
      </c>
      <c r="Q52" s="5"/>
      <c r="R52" s="5"/>
      <c r="S52" s="5"/>
      <c r="T52" s="5"/>
      <c r="U52" s="5"/>
      <c r="V52" s="5"/>
      <c r="W52" s="5">
        <v>0</v>
      </c>
      <c r="X52" s="5">
        <v>1</v>
      </c>
      <c r="Y52" s="5">
        <v>0</v>
      </c>
      <c r="Z52" s="5">
        <v>0</v>
      </c>
      <c r="AA52" s="5">
        <v>1</v>
      </c>
      <c r="AB52" s="5">
        <v>0</v>
      </c>
    </row>
    <row r="53" spans="1:28" ht="12.75">
      <c r="A53" s="5">
        <v>50</v>
      </c>
      <c r="B53" s="5">
        <v>0</v>
      </c>
      <c r="C53" s="5">
        <v>0</v>
      </c>
      <c r="D53" s="5">
        <v>1</v>
      </c>
      <c r="E53" s="5">
        <v>203</v>
      </c>
      <c r="F53" s="5">
        <f>ROUND(Source!Q41,O53)</f>
        <v>150.61</v>
      </c>
      <c r="G53" s="5" t="s">
        <v>96</v>
      </c>
      <c r="H53" s="5" t="s">
        <v>97</v>
      </c>
      <c r="I53" s="5"/>
      <c r="J53" s="5"/>
      <c r="K53" s="5">
        <v>203</v>
      </c>
      <c r="L53" s="5">
        <v>11</v>
      </c>
      <c r="M53" s="5">
        <v>3</v>
      </c>
      <c r="N53" s="5" t="s">
        <v>3</v>
      </c>
      <c r="O53" s="5">
        <v>2</v>
      </c>
      <c r="P53" s="5">
        <f>ROUND(Source!DI41,O53)</f>
        <v>1994.53</v>
      </c>
      <c r="Q53" s="5"/>
      <c r="R53" s="5"/>
      <c r="S53" s="5"/>
      <c r="T53" s="5"/>
      <c r="U53" s="5"/>
      <c r="V53" s="5"/>
      <c r="W53" s="5">
        <v>150.61</v>
      </c>
      <c r="X53" s="5">
        <v>1</v>
      </c>
      <c r="Y53" s="5">
        <v>150.61</v>
      </c>
      <c r="Z53" s="5">
        <v>1994.53</v>
      </c>
      <c r="AA53" s="5">
        <v>1</v>
      </c>
      <c r="AB53" s="5">
        <v>1994.53</v>
      </c>
    </row>
    <row r="54" spans="1:28" ht="12.75">
      <c r="A54" s="5">
        <v>50</v>
      </c>
      <c r="B54" s="5">
        <v>0</v>
      </c>
      <c r="C54" s="5">
        <v>0</v>
      </c>
      <c r="D54" s="5">
        <v>1</v>
      </c>
      <c r="E54" s="5">
        <v>231</v>
      </c>
      <c r="F54" s="5">
        <f>ROUND(Source!BB41,O54)</f>
        <v>0</v>
      </c>
      <c r="G54" s="5" t="s">
        <v>98</v>
      </c>
      <c r="H54" s="5" t="s">
        <v>99</v>
      </c>
      <c r="I54" s="5"/>
      <c r="J54" s="5"/>
      <c r="K54" s="5">
        <v>231</v>
      </c>
      <c r="L54" s="5">
        <v>12</v>
      </c>
      <c r="M54" s="5">
        <v>3</v>
      </c>
      <c r="N54" s="5" t="s">
        <v>3</v>
      </c>
      <c r="O54" s="5">
        <v>2</v>
      </c>
      <c r="P54" s="5">
        <f>ROUND(Source!ET41,O54)</f>
        <v>0</v>
      </c>
      <c r="Q54" s="5"/>
      <c r="R54" s="5"/>
      <c r="S54" s="5"/>
      <c r="T54" s="5"/>
      <c r="U54" s="5"/>
      <c r="V54" s="5"/>
      <c r="W54" s="5">
        <v>0</v>
      </c>
      <c r="X54" s="5">
        <v>1</v>
      </c>
      <c r="Y54" s="5">
        <v>0</v>
      </c>
      <c r="Z54" s="5">
        <v>0</v>
      </c>
      <c r="AA54" s="5">
        <v>1</v>
      </c>
      <c r="AB54" s="5">
        <v>0</v>
      </c>
    </row>
    <row r="55" spans="1:28" ht="12.75">
      <c r="A55" s="5">
        <v>50</v>
      </c>
      <c r="B55" s="5">
        <v>0</v>
      </c>
      <c r="C55" s="5">
        <v>0</v>
      </c>
      <c r="D55" s="5">
        <v>1</v>
      </c>
      <c r="E55" s="5">
        <v>204</v>
      </c>
      <c r="F55" s="5">
        <f>ROUND(Source!R41,O55)</f>
        <v>32.18</v>
      </c>
      <c r="G55" s="5" t="s">
        <v>100</v>
      </c>
      <c r="H55" s="5" t="s">
        <v>101</v>
      </c>
      <c r="I55" s="5"/>
      <c r="J55" s="5"/>
      <c r="K55" s="5">
        <v>204</v>
      </c>
      <c r="L55" s="5">
        <v>13</v>
      </c>
      <c r="M55" s="5">
        <v>3</v>
      </c>
      <c r="N55" s="5" t="s">
        <v>3</v>
      </c>
      <c r="O55" s="5">
        <v>2</v>
      </c>
      <c r="P55" s="5">
        <f>ROUND(Source!DJ41,O55)</f>
        <v>1201.8</v>
      </c>
      <c r="Q55" s="5"/>
      <c r="R55" s="5"/>
      <c r="S55" s="5"/>
      <c r="T55" s="5"/>
      <c r="U55" s="5"/>
      <c r="V55" s="5"/>
      <c r="W55" s="5">
        <v>32.18</v>
      </c>
      <c r="X55" s="5">
        <v>1</v>
      </c>
      <c r="Y55" s="5">
        <v>32.18</v>
      </c>
      <c r="Z55" s="5">
        <v>1201.8</v>
      </c>
      <c r="AA55" s="5">
        <v>1</v>
      </c>
      <c r="AB55" s="5">
        <v>1201.8</v>
      </c>
    </row>
    <row r="56" spans="1:28" ht="12.75">
      <c r="A56" s="5">
        <v>50</v>
      </c>
      <c r="B56" s="5">
        <v>0</v>
      </c>
      <c r="C56" s="5">
        <v>0</v>
      </c>
      <c r="D56" s="5">
        <v>1</v>
      </c>
      <c r="E56" s="5">
        <v>205</v>
      </c>
      <c r="F56" s="5">
        <f>ROUND(Source!S41,O56)</f>
        <v>4134.84</v>
      </c>
      <c r="G56" s="5" t="s">
        <v>102</v>
      </c>
      <c r="H56" s="5" t="s">
        <v>103</v>
      </c>
      <c r="I56" s="5"/>
      <c r="J56" s="5"/>
      <c r="K56" s="5">
        <v>205</v>
      </c>
      <c r="L56" s="5">
        <v>14</v>
      </c>
      <c r="M56" s="5">
        <v>3</v>
      </c>
      <c r="N56" s="5" t="s">
        <v>3</v>
      </c>
      <c r="O56" s="5">
        <v>2</v>
      </c>
      <c r="P56" s="5">
        <f>ROUND(Source!DK41,O56)</f>
        <v>154395.18</v>
      </c>
      <c r="Q56" s="5"/>
      <c r="R56" s="5"/>
      <c r="S56" s="5"/>
      <c r="T56" s="5"/>
      <c r="U56" s="5"/>
      <c r="V56" s="5"/>
      <c r="W56" s="5">
        <v>4134.84</v>
      </c>
      <c r="X56" s="5">
        <v>1</v>
      </c>
      <c r="Y56" s="5">
        <v>4134.84</v>
      </c>
      <c r="Z56" s="5">
        <v>154395.18000000002</v>
      </c>
      <c r="AA56" s="5">
        <v>1</v>
      </c>
      <c r="AB56" s="5">
        <v>154395.18000000002</v>
      </c>
    </row>
    <row r="57" spans="1:28" ht="12.75">
      <c r="A57" s="5">
        <v>50</v>
      </c>
      <c r="B57" s="5">
        <v>0</v>
      </c>
      <c r="C57" s="5">
        <v>0</v>
      </c>
      <c r="D57" s="5">
        <v>1</v>
      </c>
      <c r="E57" s="5">
        <v>232</v>
      </c>
      <c r="F57" s="5">
        <f>ROUND(Source!BC41,O57)</f>
        <v>0</v>
      </c>
      <c r="G57" s="5" t="s">
        <v>104</v>
      </c>
      <c r="H57" s="5" t="s">
        <v>105</v>
      </c>
      <c r="I57" s="5"/>
      <c r="J57" s="5"/>
      <c r="K57" s="5">
        <v>232</v>
      </c>
      <c r="L57" s="5">
        <v>15</v>
      </c>
      <c r="M57" s="5">
        <v>3</v>
      </c>
      <c r="N57" s="5" t="s">
        <v>3</v>
      </c>
      <c r="O57" s="5">
        <v>2</v>
      </c>
      <c r="P57" s="5">
        <f>ROUND(Source!EU41,O57)</f>
        <v>0</v>
      </c>
      <c r="Q57" s="5"/>
      <c r="R57" s="5"/>
      <c r="S57" s="5"/>
      <c r="T57" s="5"/>
      <c r="U57" s="5"/>
      <c r="V57" s="5"/>
      <c r="W57" s="5">
        <v>0</v>
      </c>
      <c r="X57" s="5">
        <v>1</v>
      </c>
      <c r="Y57" s="5">
        <v>0</v>
      </c>
      <c r="Z57" s="5">
        <v>0</v>
      </c>
      <c r="AA57" s="5">
        <v>1</v>
      </c>
      <c r="AB57" s="5">
        <v>0</v>
      </c>
    </row>
    <row r="58" spans="1:28" ht="12.75">
      <c r="A58" s="5">
        <v>50</v>
      </c>
      <c r="B58" s="5">
        <v>0</v>
      </c>
      <c r="C58" s="5">
        <v>0</v>
      </c>
      <c r="D58" s="5">
        <v>1</v>
      </c>
      <c r="E58" s="5">
        <v>214</v>
      </c>
      <c r="F58" s="5">
        <f>ROUND(Source!AS41,O58)</f>
        <v>49214.97</v>
      </c>
      <c r="G58" s="5" t="s">
        <v>106</v>
      </c>
      <c r="H58" s="5" t="s">
        <v>107</v>
      </c>
      <c r="I58" s="5"/>
      <c r="J58" s="5"/>
      <c r="K58" s="5">
        <v>214</v>
      </c>
      <c r="L58" s="5">
        <v>16</v>
      </c>
      <c r="M58" s="5">
        <v>3</v>
      </c>
      <c r="N58" s="5" t="s">
        <v>3</v>
      </c>
      <c r="O58" s="5">
        <v>2</v>
      </c>
      <c r="P58" s="5">
        <f>ROUND(Source!EK41,O58)</f>
        <v>638224.19</v>
      </c>
      <c r="Q58" s="5"/>
      <c r="R58" s="5"/>
      <c r="S58" s="5"/>
      <c r="T58" s="5"/>
      <c r="U58" s="5"/>
      <c r="V58" s="5"/>
      <c r="W58" s="5">
        <v>49214.97</v>
      </c>
      <c r="X58" s="5">
        <v>1</v>
      </c>
      <c r="Y58" s="5">
        <v>49214.97</v>
      </c>
      <c r="Z58" s="5">
        <v>638224.19</v>
      </c>
      <c r="AA58" s="5">
        <v>1</v>
      </c>
      <c r="AB58" s="5">
        <v>638224.19</v>
      </c>
    </row>
    <row r="59" spans="1:28" ht="12.75">
      <c r="A59" s="5">
        <v>50</v>
      </c>
      <c r="B59" s="5">
        <v>0</v>
      </c>
      <c r="C59" s="5">
        <v>0</v>
      </c>
      <c r="D59" s="5">
        <v>1</v>
      </c>
      <c r="E59" s="5">
        <v>215</v>
      </c>
      <c r="F59" s="5">
        <f>ROUND(Source!AT41,O59)</f>
        <v>0</v>
      </c>
      <c r="G59" s="5" t="s">
        <v>108</v>
      </c>
      <c r="H59" s="5" t="s">
        <v>109</v>
      </c>
      <c r="I59" s="5"/>
      <c r="J59" s="5"/>
      <c r="K59" s="5">
        <v>215</v>
      </c>
      <c r="L59" s="5">
        <v>17</v>
      </c>
      <c r="M59" s="5">
        <v>3</v>
      </c>
      <c r="N59" s="5" t="s">
        <v>3</v>
      </c>
      <c r="O59" s="5">
        <v>2</v>
      </c>
      <c r="P59" s="5">
        <f>ROUND(Source!EL41,O59)</f>
        <v>0</v>
      </c>
      <c r="Q59" s="5"/>
      <c r="R59" s="5"/>
      <c r="S59" s="5"/>
      <c r="T59" s="5"/>
      <c r="U59" s="5"/>
      <c r="V59" s="5"/>
      <c r="W59" s="5">
        <v>0</v>
      </c>
      <c r="X59" s="5">
        <v>1</v>
      </c>
      <c r="Y59" s="5">
        <v>0</v>
      </c>
      <c r="Z59" s="5">
        <v>0</v>
      </c>
      <c r="AA59" s="5">
        <v>1</v>
      </c>
      <c r="AB59" s="5">
        <v>0</v>
      </c>
    </row>
    <row r="60" spans="1:28" ht="12.75">
      <c r="A60" s="5">
        <v>50</v>
      </c>
      <c r="B60" s="5">
        <v>0</v>
      </c>
      <c r="C60" s="5">
        <v>0</v>
      </c>
      <c r="D60" s="5">
        <v>1</v>
      </c>
      <c r="E60" s="5">
        <v>217</v>
      </c>
      <c r="F60" s="5">
        <f>ROUND(Source!AU41,O60)</f>
        <v>0</v>
      </c>
      <c r="G60" s="5" t="s">
        <v>110</v>
      </c>
      <c r="H60" s="5" t="s">
        <v>111</v>
      </c>
      <c r="I60" s="5"/>
      <c r="J60" s="5"/>
      <c r="K60" s="5">
        <v>217</v>
      </c>
      <c r="L60" s="5">
        <v>18</v>
      </c>
      <c r="M60" s="5">
        <v>3</v>
      </c>
      <c r="N60" s="5" t="s">
        <v>3</v>
      </c>
      <c r="O60" s="5">
        <v>2</v>
      </c>
      <c r="P60" s="5">
        <f>ROUND(Source!EM41,O60)</f>
        <v>0</v>
      </c>
      <c r="Q60" s="5"/>
      <c r="R60" s="5"/>
      <c r="S60" s="5"/>
      <c r="T60" s="5"/>
      <c r="U60" s="5"/>
      <c r="V60" s="5"/>
      <c r="W60" s="5">
        <v>0</v>
      </c>
      <c r="X60" s="5">
        <v>1</v>
      </c>
      <c r="Y60" s="5">
        <v>0</v>
      </c>
      <c r="Z60" s="5">
        <v>0</v>
      </c>
      <c r="AA60" s="5">
        <v>1</v>
      </c>
      <c r="AB60" s="5">
        <v>0</v>
      </c>
    </row>
    <row r="61" spans="1:28" ht="12.75">
      <c r="A61" s="5">
        <v>50</v>
      </c>
      <c r="B61" s="5">
        <v>0</v>
      </c>
      <c r="C61" s="5">
        <v>0</v>
      </c>
      <c r="D61" s="5">
        <v>1</v>
      </c>
      <c r="E61" s="5">
        <v>230</v>
      </c>
      <c r="F61" s="5">
        <f>ROUND(Source!BA41,O61)</f>
        <v>0</v>
      </c>
      <c r="G61" s="5" t="s">
        <v>112</v>
      </c>
      <c r="H61" s="5" t="s">
        <v>113</v>
      </c>
      <c r="I61" s="5"/>
      <c r="J61" s="5"/>
      <c r="K61" s="5">
        <v>230</v>
      </c>
      <c r="L61" s="5">
        <v>19</v>
      </c>
      <c r="M61" s="5">
        <v>3</v>
      </c>
      <c r="N61" s="5" t="s">
        <v>3</v>
      </c>
      <c r="O61" s="5">
        <v>2</v>
      </c>
      <c r="P61" s="5">
        <f>ROUND(Source!ES41,O61)</f>
        <v>0</v>
      </c>
      <c r="Q61" s="5"/>
      <c r="R61" s="5"/>
      <c r="S61" s="5"/>
      <c r="T61" s="5"/>
      <c r="U61" s="5"/>
      <c r="V61" s="5"/>
      <c r="W61" s="5">
        <v>0</v>
      </c>
      <c r="X61" s="5">
        <v>1</v>
      </c>
      <c r="Y61" s="5">
        <v>0</v>
      </c>
      <c r="Z61" s="5">
        <v>0</v>
      </c>
      <c r="AA61" s="5">
        <v>1</v>
      </c>
      <c r="AB61" s="5">
        <v>0</v>
      </c>
    </row>
    <row r="62" spans="1:28" ht="12.75">
      <c r="A62" s="5">
        <v>50</v>
      </c>
      <c r="B62" s="5">
        <v>0</v>
      </c>
      <c r="C62" s="5">
        <v>0</v>
      </c>
      <c r="D62" s="5">
        <v>1</v>
      </c>
      <c r="E62" s="5">
        <v>206</v>
      </c>
      <c r="F62" s="5">
        <f>ROUND(Source!T41,O62)</f>
        <v>0</v>
      </c>
      <c r="G62" s="5" t="s">
        <v>114</v>
      </c>
      <c r="H62" s="5" t="s">
        <v>115</v>
      </c>
      <c r="I62" s="5"/>
      <c r="J62" s="5"/>
      <c r="K62" s="5">
        <v>206</v>
      </c>
      <c r="L62" s="5">
        <v>20</v>
      </c>
      <c r="M62" s="5">
        <v>3</v>
      </c>
      <c r="N62" s="5" t="s">
        <v>3</v>
      </c>
      <c r="O62" s="5">
        <v>2</v>
      </c>
      <c r="P62" s="5">
        <f>ROUND(Source!DL41,O62)</f>
        <v>0</v>
      </c>
      <c r="Q62" s="5"/>
      <c r="R62" s="5"/>
      <c r="S62" s="5"/>
      <c r="T62" s="5"/>
      <c r="U62" s="5"/>
      <c r="V62" s="5"/>
      <c r="W62" s="5">
        <v>0</v>
      </c>
      <c r="X62" s="5">
        <v>1</v>
      </c>
      <c r="Y62" s="5">
        <v>0</v>
      </c>
      <c r="Z62" s="5">
        <v>0</v>
      </c>
      <c r="AA62" s="5">
        <v>1</v>
      </c>
      <c r="AB62" s="5">
        <v>0</v>
      </c>
    </row>
    <row r="63" spans="1:28" ht="12.75">
      <c r="A63" s="5">
        <v>50</v>
      </c>
      <c r="B63" s="5">
        <v>0</v>
      </c>
      <c r="C63" s="5">
        <v>0</v>
      </c>
      <c r="D63" s="5">
        <v>1</v>
      </c>
      <c r="E63" s="5">
        <v>207</v>
      </c>
      <c r="F63" s="5">
        <f>Source!U41</f>
        <v>452.9579708</v>
      </c>
      <c r="G63" s="5" t="s">
        <v>116</v>
      </c>
      <c r="H63" s="5" t="s">
        <v>117</v>
      </c>
      <c r="I63" s="5"/>
      <c r="J63" s="5"/>
      <c r="K63" s="5">
        <v>207</v>
      </c>
      <c r="L63" s="5">
        <v>21</v>
      </c>
      <c r="M63" s="5">
        <v>3</v>
      </c>
      <c r="N63" s="5" t="s">
        <v>3</v>
      </c>
      <c r="O63" s="5">
        <v>-1</v>
      </c>
      <c r="P63" s="5">
        <f>Source!DM41</f>
        <v>452.9579708</v>
      </c>
      <c r="Q63" s="5"/>
      <c r="R63" s="5"/>
      <c r="S63" s="5"/>
      <c r="T63" s="5"/>
      <c r="U63" s="5"/>
      <c r="V63" s="5"/>
      <c r="W63" s="5">
        <v>452.9579708</v>
      </c>
      <c r="X63" s="5">
        <v>1</v>
      </c>
      <c r="Y63" s="5">
        <v>452.9579708</v>
      </c>
      <c r="Z63" s="5">
        <v>452.9579708</v>
      </c>
      <c r="AA63" s="5">
        <v>1</v>
      </c>
      <c r="AB63" s="5">
        <v>452.9579708</v>
      </c>
    </row>
    <row r="64" spans="1:28" ht="12.75">
      <c r="A64" s="5">
        <v>50</v>
      </c>
      <c r="B64" s="5">
        <v>0</v>
      </c>
      <c r="C64" s="5">
        <v>0</v>
      </c>
      <c r="D64" s="5">
        <v>1</v>
      </c>
      <c r="E64" s="5">
        <v>208</v>
      </c>
      <c r="F64" s="5">
        <f>Source!V41</f>
        <v>2.65639</v>
      </c>
      <c r="G64" s="5" t="s">
        <v>118</v>
      </c>
      <c r="H64" s="5" t="s">
        <v>119</v>
      </c>
      <c r="I64" s="5"/>
      <c r="J64" s="5"/>
      <c r="K64" s="5">
        <v>208</v>
      </c>
      <c r="L64" s="5">
        <v>22</v>
      </c>
      <c r="M64" s="5">
        <v>3</v>
      </c>
      <c r="N64" s="5" t="s">
        <v>3</v>
      </c>
      <c r="O64" s="5">
        <v>-1</v>
      </c>
      <c r="P64" s="5">
        <f>Source!DN41</f>
        <v>2.65639</v>
      </c>
      <c r="Q64" s="5"/>
      <c r="R64" s="5"/>
      <c r="S64" s="5"/>
      <c r="T64" s="5"/>
      <c r="U64" s="5"/>
      <c r="V64" s="5"/>
      <c r="W64" s="5">
        <v>2.65639</v>
      </c>
      <c r="X64" s="5">
        <v>1</v>
      </c>
      <c r="Y64" s="5">
        <v>2.65639</v>
      </c>
      <c r="Z64" s="5">
        <v>2.65639</v>
      </c>
      <c r="AA64" s="5">
        <v>1</v>
      </c>
      <c r="AB64" s="5">
        <v>2.65639</v>
      </c>
    </row>
    <row r="65" spans="1:28" ht="12.75">
      <c r="A65" s="5">
        <v>50</v>
      </c>
      <c r="B65" s="5">
        <v>0</v>
      </c>
      <c r="C65" s="5">
        <v>0</v>
      </c>
      <c r="D65" s="5">
        <v>1</v>
      </c>
      <c r="E65" s="5">
        <v>209</v>
      </c>
      <c r="F65" s="5">
        <f>ROUND(Source!W41,O65)</f>
        <v>0</v>
      </c>
      <c r="G65" s="5" t="s">
        <v>120</v>
      </c>
      <c r="H65" s="5" t="s">
        <v>121</v>
      </c>
      <c r="I65" s="5"/>
      <c r="J65" s="5"/>
      <c r="K65" s="5">
        <v>209</v>
      </c>
      <c r="L65" s="5">
        <v>23</v>
      </c>
      <c r="M65" s="5">
        <v>3</v>
      </c>
      <c r="N65" s="5" t="s">
        <v>3</v>
      </c>
      <c r="O65" s="5">
        <v>2</v>
      </c>
      <c r="P65" s="5">
        <f>ROUND(Source!DO41,O65)</f>
        <v>0</v>
      </c>
      <c r="Q65" s="5"/>
      <c r="R65" s="5"/>
      <c r="S65" s="5"/>
      <c r="T65" s="5"/>
      <c r="U65" s="5"/>
      <c r="V65" s="5"/>
      <c r="W65" s="5">
        <v>0</v>
      </c>
      <c r="X65" s="5">
        <v>1</v>
      </c>
      <c r="Y65" s="5">
        <v>0</v>
      </c>
      <c r="Z65" s="5">
        <v>0</v>
      </c>
      <c r="AA65" s="5">
        <v>1</v>
      </c>
      <c r="AB65" s="5">
        <v>0</v>
      </c>
    </row>
    <row r="66" spans="1:28" ht="12.75">
      <c r="A66" s="5">
        <v>50</v>
      </c>
      <c r="B66" s="5">
        <v>0</v>
      </c>
      <c r="C66" s="5">
        <v>0</v>
      </c>
      <c r="D66" s="5">
        <v>1</v>
      </c>
      <c r="E66" s="5">
        <v>233</v>
      </c>
      <c r="F66" s="5">
        <f>ROUND(Source!BD41,O66)</f>
        <v>0</v>
      </c>
      <c r="G66" s="5" t="s">
        <v>122</v>
      </c>
      <c r="H66" s="5" t="s">
        <v>123</v>
      </c>
      <c r="I66" s="5"/>
      <c r="J66" s="5"/>
      <c r="K66" s="5">
        <v>233</v>
      </c>
      <c r="L66" s="5">
        <v>24</v>
      </c>
      <c r="M66" s="5">
        <v>3</v>
      </c>
      <c r="N66" s="5" t="s">
        <v>3</v>
      </c>
      <c r="O66" s="5">
        <v>2</v>
      </c>
      <c r="P66" s="5">
        <f>ROUND(Source!EV41,O66)</f>
        <v>0</v>
      </c>
      <c r="Q66" s="5"/>
      <c r="R66" s="5"/>
      <c r="S66" s="5"/>
      <c r="T66" s="5"/>
      <c r="U66" s="5"/>
      <c r="V66" s="5"/>
      <c r="W66" s="5">
        <v>0</v>
      </c>
      <c r="X66" s="5">
        <v>1</v>
      </c>
      <c r="Y66" s="5">
        <v>0</v>
      </c>
      <c r="Z66" s="5">
        <v>0</v>
      </c>
      <c r="AA66" s="5">
        <v>1</v>
      </c>
      <c r="AB66" s="5">
        <v>0</v>
      </c>
    </row>
    <row r="67" spans="1:28" ht="12.75">
      <c r="A67" s="5">
        <v>50</v>
      </c>
      <c r="B67" s="5">
        <v>0</v>
      </c>
      <c r="C67" s="5">
        <v>0</v>
      </c>
      <c r="D67" s="5">
        <v>1</v>
      </c>
      <c r="E67" s="5">
        <v>210</v>
      </c>
      <c r="F67" s="5">
        <f>ROUND(Source!X41,O67)</f>
        <v>3847.36</v>
      </c>
      <c r="G67" s="5" t="s">
        <v>124</v>
      </c>
      <c r="H67" s="5" t="s">
        <v>125</v>
      </c>
      <c r="I67" s="5"/>
      <c r="J67" s="5"/>
      <c r="K67" s="5">
        <v>210</v>
      </c>
      <c r="L67" s="5">
        <v>25</v>
      </c>
      <c r="M67" s="5">
        <v>3</v>
      </c>
      <c r="N67" s="5" t="s">
        <v>3</v>
      </c>
      <c r="O67" s="5">
        <v>2</v>
      </c>
      <c r="P67" s="5">
        <f>ROUND(Source!DP41,O67)</f>
        <v>143660.9</v>
      </c>
      <c r="Q67" s="5"/>
      <c r="R67" s="5"/>
      <c r="S67" s="5"/>
      <c r="T67" s="5"/>
      <c r="U67" s="5"/>
      <c r="V67" s="5"/>
      <c r="W67" s="5">
        <v>3847.36</v>
      </c>
      <c r="X67" s="5">
        <v>1</v>
      </c>
      <c r="Y67" s="5">
        <v>3847.36</v>
      </c>
      <c r="Z67" s="5">
        <v>143660.9</v>
      </c>
      <c r="AA67" s="5">
        <v>1</v>
      </c>
      <c r="AB67" s="5">
        <v>143660.9</v>
      </c>
    </row>
    <row r="68" spans="1:28" ht="12.75">
      <c r="A68" s="5">
        <v>50</v>
      </c>
      <c r="B68" s="5">
        <v>0</v>
      </c>
      <c r="C68" s="5">
        <v>0</v>
      </c>
      <c r="D68" s="5">
        <v>1</v>
      </c>
      <c r="E68" s="5">
        <v>211</v>
      </c>
      <c r="F68" s="5">
        <f>ROUND(Source!Y41,O68)</f>
        <v>2028.13</v>
      </c>
      <c r="G68" s="5" t="s">
        <v>126</v>
      </c>
      <c r="H68" s="5" t="s">
        <v>127</v>
      </c>
      <c r="I68" s="5"/>
      <c r="J68" s="5"/>
      <c r="K68" s="5">
        <v>211</v>
      </c>
      <c r="L68" s="5">
        <v>26</v>
      </c>
      <c r="M68" s="5">
        <v>3</v>
      </c>
      <c r="N68" s="5" t="s">
        <v>3</v>
      </c>
      <c r="O68" s="5">
        <v>2</v>
      </c>
      <c r="P68" s="5">
        <f>ROUND(Source!DQ41,O68)</f>
        <v>75730.53</v>
      </c>
      <c r="Q68" s="5"/>
      <c r="R68" s="5"/>
      <c r="S68" s="5"/>
      <c r="T68" s="5"/>
      <c r="U68" s="5"/>
      <c r="V68" s="5"/>
      <c r="W68" s="5">
        <v>2028.13</v>
      </c>
      <c r="X68" s="5">
        <v>1</v>
      </c>
      <c r="Y68" s="5">
        <v>2028.13</v>
      </c>
      <c r="Z68" s="5">
        <v>75730.53</v>
      </c>
      <c r="AA68" s="5">
        <v>1</v>
      </c>
      <c r="AB68" s="5">
        <v>75730.53</v>
      </c>
    </row>
    <row r="69" spans="1:28" ht="12.75">
      <c r="A69" s="5">
        <v>50</v>
      </c>
      <c r="B69" s="5">
        <v>0</v>
      </c>
      <c r="C69" s="5">
        <v>0</v>
      </c>
      <c r="D69" s="5">
        <v>1</v>
      </c>
      <c r="E69" s="5">
        <v>224</v>
      </c>
      <c r="F69" s="5">
        <f>ROUND(Source!AR41,O69)</f>
        <v>49214.97</v>
      </c>
      <c r="G69" s="5" t="s">
        <v>128</v>
      </c>
      <c r="H69" s="5" t="s">
        <v>129</v>
      </c>
      <c r="I69" s="5"/>
      <c r="J69" s="5"/>
      <c r="K69" s="5">
        <v>224</v>
      </c>
      <c r="L69" s="5">
        <v>27</v>
      </c>
      <c r="M69" s="5">
        <v>3</v>
      </c>
      <c r="N69" s="5" t="s">
        <v>3</v>
      </c>
      <c r="O69" s="5">
        <v>2</v>
      </c>
      <c r="P69" s="5">
        <f>ROUND(Source!EJ41,O69)</f>
        <v>638224.19</v>
      </c>
      <c r="Q69" s="5"/>
      <c r="R69" s="5"/>
      <c r="S69" s="5"/>
      <c r="T69" s="5"/>
      <c r="U69" s="5"/>
      <c r="V69" s="5"/>
      <c r="W69" s="5">
        <v>49214.969999999994</v>
      </c>
      <c r="X69" s="5">
        <v>1</v>
      </c>
      <c r="Y69" s="5">
        <v>49214.969999999994</v>
      </c>
      <c r="Z69" s="5">
        <v>638224.1900000001</v>
      </c>
      <c r="AA69" s="5">
        <v>1</v>
      </c>
      <c r="AB69" s="5">
        <v>638224.1900000001</v>
      </c>
    </row>
    <row r="70" spans="1:28" ht="12.75">
      <c r="A70" s="5">
        <v>50</v>
      </c>
      <c r="B70" s="5">
        <v>1</v>
      </c>
      <c r="C70" s="5">
        <v>0</v>
      </c>
      <c r="D70" s="5">
        <v>2</v>
      </c>
      <c r="E70" s="5">
        <v>0</v>
      </c>
      <c r="F70" s="5">
        <f>ROUND(F69,O70)</f>
        <v>49214.97</v>
      </c>
      <c r="G70" s="5" t="s">
        <v>130</v>
      </c>
      <c r="H70" s="5" t="s">
        <v>131</v>
      </c>
      <c r="I70" s="5"/>
      <c r="J70" s="5"/>
      <c r="K70" s="5">
        <v>212</v>
      </c>
      <c r="L70" s="5">
        <v>28</v>
      </c>
      <c r="M70" s="5">
        <v>0</v>
      </c>
      <c r="N70" s="5" t="s">
        <v>3</v>
      </c>
      <c r="O70" s="5">
        <v>2</v>
      </c>
      <c r="P70" s="5">
        <f>ROUND(P69,O70)</f>
        <v>638224.19</v>
      </c>
      <c r="Q70" s="5"/>
      <c r="R70" s="5"/>
      <c r="S70" s="5"/>
      <c r="T70" s="5"/>
      <c r="U70" s="5"/>
      <c r="V70" s="5"/>
      <c r="W70" s="5">
        <v>49214.97</v>
      </c>
      <c r="X70" s="5">
        <v>1</v>
      </c>
      <c r="Y70" s="5">
        <v>49214.97</v>
      </c>
      <c r="Z70" s="5">
        <v>638224.19</v>
      </c>
      <c r="AA70" s="5">
        <v>1</v>
      </c>
      <c r="AB70" s="5">
        <v>638224.19</v>
      </c>
    </row>
    <row r="72" spans="1:88" ht="12.75">
      <c r="A72" s="1">
        <v>4</v>
      </c>
      <c r="B72" s="1">
        <v>1</v>
      </c>
      <c r="C72" s="1"/>
      <c r="D72" s="1">
        <f>ROW(A81)</f>
        <v>81</v>
      </c>
      <c r="E72" s="1"/>
      <c r="F72" s="1" t="s">
        <v>24</v>
      </c>
      <c r="G72" s="1" t="s">
        <v>132</v>
      </c>
      <c r="H72" s="1" t="s">
        <v>3</v>
      </c>
      <c r="I72" s="1">
        <v>0</v>
      </c>
      <c r="J72" s="1"/>
      <c r="K72" s="1">
        <v>0</v>
      </c>
      <c r="L72" s="1"/>
      <c r="M72" s="1" t="s">
        <v>3</v>
      </c>
      <c r="N72" s="1"/>
      <c r="O72" s="1"/>
      <c r="P72" s="1"/>
      <c r="Q72" s="1"/>
      <c r="R72" s="1"/>
      <c r="S72" s="1">
        <v>0</v>
      </c>
      <c r="T72" s="1">
        <v>0</v>
      </c>
      <c r="U72" s="1" t="s">
        <v>3</v>
      </c>
      <c r="V72" s="1">
        <v>0</v>
      </c>
      <c r="W72" s="1"/>
      <c r="X72" s="1"/>
      <c r="Y72" s="1"/>
      <c r="Z72" s="1"/>
      <c r="AA72" s="1"/>
      <c r="AB72" s="1" t="s">
        <v>3</v>
      </c>
      <c r="AC72" s="1" t="s">
        <v>3</v>
      </c>
      <c r="AD72" s="1" t="s">
        <v>3</v>
      </c>
      <c r="AE72" s="1" t="s">
        <v>3</v>
      </c>
      <c r="AF72" s="1" t="s">
        <v>3</v>
      </c>
      <c r="AG72" s="1" t="s">
        <v>3</v>
      </c>
      <c r="AH72" s="1"/>
      <c r="AI72" s="1"/>
      <c r="AJ72" s="1"/>
      <c r="AK72" s="1"/>
      <c r="AL72" s="1"/>
      <c r="AM72" s="1"/>
      <c r="AN72" s="1"/>
      <c r="AO72" s="1"/>
      <c r="AP72" s="1" t="s">
        <v>3</v>
      </c>
      <c r="AQ72" s="1" t="s">
        <v>3</v>
      </c>
      <c r="AR72" s="1" t="s">
        <v>3</v>
      </c>
      <c r="AS72" s="1"/>
      <c r="AT72" s="1"/>
      <c r="AU72" s="1"/>
      <c r="AV72" s="1"/>
      <c r="AW72" s="1"/>
      <c r="AX72" s="1"/>
      <c r="AY72" s="1"/>
      <c r="AZ72" s="1" t="s">
        <v>3</v>
      </c>
      <c r="BA72" s="1"/>
      <c r="BB72" s="1" t="s">
        <v>3</v>
      </c>
      <c r="BC72" s="1" t="s">
        <v>3</v>
      </c>
      <c r="BD72" s="1" t="s">
        <v>3</v>
      </c>
      <c r="BE72" s="1" t="s">
        <v>3</v>
      </c>
      <c r="BF72" s="1" t="s">
        <v>3</v>
      </c>
      <c r="BG72" s="1" t="s">
        <v>3</v>
      </c>
      <c r="BH72" s="1" t="s">
        <v>3</v>
      </c>
      <c r="BI72" s="1" t="s">
        <v>3</v>
      </c>
      <c r="BJ72" s="1" t="s">
        <v>3</v>
      </c>
      <c r="BK72" s="1" t="s">
        <v>3</v>
      </c>
      <c r="BL72" s="1" t="s">
        <v>3</v>
      </c>
      <c r="BM72" s="1" t="s">
        <v>3</v>
      </c>
      <c r="BN72" s="1" t="s">
        <v>3</v>
      </c>
      <c r="BO72" s="1" t="s">
        <v>3</v>
      </c>
      <c r="BP72" s="1" t="s">
        <v>3</v>
      </c>
      <c r="BQ72" s="1"/>
      <c r="BR72" s="1"/>
      <c r="BS72" s="1"/>
      <c r="BT72" s="1"/>
      <c r="BU72" s="1"/>
      <c r="BV72" s="1"/>
      <c r="BW72" s="1"/>
      <c r="BX72" s="1"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>
        <v>0</v>
      </c>
    </row>
    <row r="74" spans="1:206" ht="12.75">
      <c r="A74" s="3">
        <v>52</v>
      </c>
      <c r="B74" s="3">
        <f aca="true" t="shared" si="63" ref="B74:G74">B81</f>
        <v>1</v>
      </c>
      <c r="C74" s="3">
        <f t="shared" si="63"/>
        <v>4</v>
      </c>
      <c r="D74" s="3">
        <f t="shared" si="63"/>
        <v>72</v>
      </c>
      <c r="E74" s="3">
        <f t="shared" si="63"/>
        <v>0</v>
      </c>
      <c r="F74" s="3" t="str">
        <f t="shared" si="63"/>
        <v>Новый раздел</v>
      </c>
      <c r="G74" s="3" t="str">
        <f t="shared" si="63"/>
        <v>Разные работы</v>
      </c>
      <c r="H74" s="3"/>
      <c r="I74" s="3"/>
      <c r="J74" s="3"/>
      <c r="K74" s="3"/>
      <c r="L74" s="3"/>
      <c r="M74" s="3"/>
      <c r="N74" s="3"/>
      <c r="O74" s="3">
        <f aca="true" t="shared" si="64" ref="O74:AT74">O81</f>
        <v>0</v>
      </c>
      <c r="P74" s="3">
        <f t="shared" si="64"/>
        <v>0</v>
      </c>
      <c r="Q74" s="3">
        <f t="shared" si="64"/>
        <v>0</v>
      </c>
      <c r="R74" s="3">
        <f t="shared" si="64"/>
        <v>0</v>
      </c>
      <c r="S74" s="3">
        <f t="shared" si="64"/>
        <v>0</v>
      </c>
      <c r="T74" s="3">
        <f t="shared" si="64"/>
        <v>0</v>
      </c>
      <c r="U74" s="3">
        <f t="shared" si="64"/>
        <v>0</v>
      </c>
      <c r="V74" s="3">
        <f t="shared" si="64"/>
        <v>0</v>
      </c>
      <c r="W74" s="3">
        <f t="shared" si="64"/>
        <v>0</v>
      </c>
      <c r="X74" s="3">
        <f t="shared" si="64"/>
        <v>0</v>
      </c>
      <c r="Y74" s="3">
        <f t="shared" si="64"/>
        <v>0</v>
      </c>
      <c r="Z74" s="3">
        <f t="shared" si="64"/>
        <v>0</v>
      </c>
      <c r="AA74" s="3">
        <f t="shared" si="64"/>
        <v>0</v>
      </c>
      <c r="AB74" s="3">
        <f t="shared" si="64"/>
        <v>0</v>
      </c>
      <c r="AC74" s="3">
        <f t="shared" si="64"/>
        <v>0</v>
      </c>
      <c r="AD74" s="3">
        <f t="shared" si="64"/>
        <v>0</v>
      </c>
      <c r="AE74" s="3">
        <f t="shared" si="64"/>
        <v>0</v>
      </c>
      <c r="AF74" s="3">
        <f t="shared" si="64"/>
        <v>0</v>
      </c>
      <c r="AG74" s="3">
        <f t="shared" si="64"/>
        <v>0</v>
      </c>
      <c r="AH74" s="3">
        <f t="shared" si="64"/>
        <v>0</v>
      </c>
      <c r="AI74" s="3">
        <f t="shared" si="64"/>
        <v>0</v>
      </c>
      <c r="AJ74" s="3">
        <f t="shared" si="64"/>
        <v>0</v>
      </c>
      <c r="AK74" s="3">
        <f t="shared" si="64"/>
        <v>0</v>
      </c>
      <c r="AL74" s="3">
        <f t="shared" si="64"/>
        <v>0</v>
      </c>
      <c r="AM74" s="3">
        <f t="shared" si="64"/>
        <v>0</v>
      </c>
      <c r="AN74" s="3">
        <f t="shared" si="64"/>
        <v>0</v>
      </c>
      <c r="AO74" s="3">
        <f t="shared" si="64"/>
        <v>0</v>
      </c>
      <c r="AP74" s="3">
        <f t="shared" si="64"/>
        <v>0</v>
      </c>
      <c r="AQ74" s="3">
        <f t="shared" si="64"/>
        <v>0</v>
      </c>
      <c r="AR74" s="3">
        <f t="shared" si="64"/>
        <v>241.25</v>
      </c>
      <c r="AS74" s="3">
        <f t="shared" si="64"/>
        <v>241.25</v>
      </c>
      <c r="AT74" s="3">
        <f t="shared" si="64"/>
        <v>0</v>
      </c>
      <c r="AU74" s="3">
        <f aca="true" t="shared" si="65" ref="AU74:BZ74">AU81</f>
        <v>0</v>
      </c>
      <c r="AV74" s="3">
        <f t="shared" si="65"/>
        <v>0</v>
      </c>
      <c r="AW74" s="3">
        <f t="shared" si="65"/>
        <v>0</v>
      </c>
      <c r="AX74" s="3">
        <f t="shared" si="65"/>
        <v>0</v>
      </c>
      <c r="AY74" s="3">
        <f t="shared" si="65"/>
        <v>0</v>
      </c>
      <c r="AZ74" s="3">
        <f t="shared" si="65"/>
        <v>0</v>
      </c>
      <c r="BA74" s="3">
        <f t="shared" si="65"/>
        <v>0</v>
      </c>
      <c r="BB74" s="3">
        <f t="shared" si="65"/>
        <v>0</v>
      </c>
      <c r="BC74" s="3">
        <f t="shared" si="65"/>
        <v>0</v>
      </c>
      <c r="BD74" s="3">
        <f t="shared" si="65"/>
        <v>241.25</v>
      </c>
      <c r="BE74" s="3">
        <f t="shared" si="65"/>
        <v>0</v>
      </c>
      <c r="BF74" s="3">
        <f t="shared" si="65"/>
        <v>0</v>
      </c>
      <c r="BG74" s="3">
        <f t="shared" si="65"/>
        <v>0</v>
      </c>
      <c r="BH74" s="3">
        <f t="shared" si="65"/>
        <v>0</v>
      </c>
      <c r="BI74" s="3">
        <f t="shared" si="65"/>
        <v>0</v>
      </c>
      <c r="BJ74" s="3">
        <f t="shared" si="65"/>
        <v>0</v>
      </c>
      <c r="BK74" s="3">
        <f t="shared" si="65"/>
        <v>0</v>
      </c>
      <c r="BL74" s="3">
        <f t="shared" si="65"/>
        <v>0</v>
      </c>
      <c r="BM74" s="3">
        <f t="shared" si="65"/>
        <v>0</v>
      </c>
      <c r="BN74" s="3">
        <f t="shared" si="65"/>
        <v>0</v>
      </c>
      <c r="BO74" s="3">
        <f t="shared" si="65"/>
        <v>0</v>
      </c>
      <c r="BP74" s="3">
        <f t="shared" si="65"/>
        <v>0</v>
      </c>
      <c r="BQ74" s="3">
        <f t="shared" si="65"/>
        <v>0</v>
      </c>
      <c r="BR74" s="3">
        <f t="shared" si="65"/>
        <v>0</v>
      </c>
      <c r="BS74" s="3">
        <f t="shared" si="65"/>
        <v>0</v>
      </c>
      <c r="BT74" s="3">
        <f t="shared" si="65"/>
        <v>0</v>
      </c>
      <c r="BU74" s="3">
        <f t="shared" si="65"/>
        <v>0</v>
      </c>
      <c r="BV74" s="3">
        <f t="shared" si="65"/>
        <v>0</v>
      </c>
      <c r="BW74" s="3">
        <f t="shared" si="65"/>
        <v>0</v>
      </c>
      <c r="BX74" s="3">
        <f t="shared" si="65"/>
        <v>0</v>
      </c>
      <c r="BY74" s="3">
        <f t="shared" si="65"/>
        <v>0</v>
      </c>
      <c r="BZ74" s="3">
        <f t="shared" si="65"/>
        <v>0</v>
      </c>
      <c r="CA74" s="3">
        <f aca="true" t="shared" si="66" ref="CA74:DF74">CA81</f>
        <v>241.25</v>
      </c>
      <c r="CB74" s="3">
        <f t="shared" si="66"/>
        <v>241.25</v>
      </c>
      <c r="CC74" s="3">
        <f t="shared" si="66"/>
        <v>0</v>
      </c>
      <c r="CD74" s="3">
        <f t="shared" si="66"/>
        <v>0</v>
      </c>
      <c r="CE74" s="3">
        <f t="shared" si="66"/>
        <v>0</v>
      </c>
      <c r="CF74" s="3">
        <f t="shared" si="66"/>
        <v>0</v>
      </c>
      <c r="CG74" s="3">
        <f t="shared" si="66"/>
        <v>0</v>
      </c>
      <c r="CH74" s="3">
        <f t="shared" si="66"/>
        <v>0</v>
      </c>
      <c r="CI74" s="3">
        <f t="shared" si="66"/>
        <v>0</v>
      </c>
      <c r="CJ74" s="3">
        <f t="shared" si="66"/>
        <v>0</v>
      </c>
      <c r="CK74" s="3">
        <f t="shared" si="66"/>
        <v>0</v>
      </c>
      <c r="CL74" s="3">
        <f t="shared" si="66"/>
        <v>0</v>
      </c>
      <c r="CM74" s="3">
        <f t="shared" si="66"/>
        <v>241.25</v>
      </c>
      <c r="CN74" s="3">
        <f t="shared" si="66"/>
        <v>0</v>
      </c>
      <c r="CO74" s="3">
        <f t="shared" si="66"/>
        <v>0</v>
      </c>
      <c r="CP74" s="3">
        <f t="shared" si="66"/>
        <v>0</v>
      </c>
      <c r="CQ74" s="3">
        <f t="shared" si="66"/>
        <v>0</v>
      </c>
      <c r="CR74" s="3">
        <f t="shared" si="66"/>
        <v>0</v>
      </c>
      <c r="CS74" s="3">
        <f t="shared" si="66"/>
        <v>0</v>
      </c>
      <c r="CT74" s="3">
        <f t="shared" si="66"/>
        <v>0</v>
      </c>
      <c r="CU74" s="3">
        <f t="shared" si="66"/>
        <v>0</v>
      </c>
      <c r="CV74" s="3">
        <f t="shared" si="66"/>
        <v>0</v>
      </c>
      <c r="CW74" s="3">
        <f t="shared" si="66"/>
        <v>0</v>
      </c>
      <c r="CX74" s="3">
        <f t="shared" si="66"/>
        <v>0</v>
      </c>
      <c r="CY74" s="3">
        <f t="shared" si="66"/>
        <v>0</v>
      </c>
      <c r="CZ74" s="3">
        <f t="shared" si="66"/>
        <v>0</v>
      </c>
      <c r="DA74" s="3">
        <f t="shared" si="66"/>
        <v>0</v>
      </c>
      <c r="DB74" s="3">
        <f t="shared" si="66"/>
        <v>0</v>
      </c>
      <c r="DC74" s="3">
        <f t="shared" si="66"/>
        <v>0</v>
      </c>
      <c r="DD74" s="3">
        <f t="shared" si="66"/>
        <v>0</v>
      </c>
      <c r="DE74" s="3">
        <f t="shared" si="66"/>
        <v>0</v>
      </c>
      <c r="DF74" s="3">
        <f t="shared" si="66"/>
        <v>0</v>
      </c>
      <c r="DG74" s="4">
        <f aca="true" t="shared" si="67" ref="DG74:EL74">DG81</f>
        <v>0</v>
      </c>
      <c r="DH74" s="4">
        <f t="shared" si="67"/>
        <v>0</v>
      </c>
      <c r="DI74" s="4">
        <f t="shared" si="67"/>
        <v>0</v>
      </c>
      <c r="DJ74" s="4">
        <f t="shared" si="67"/>
        <v>0</v>
      </c>
      <c r="DK74" s="4">
        <f t="shared" si="67"/>
        <v>0</v>
      </c>
      <c r="DL74" s="4">
        <f t="shared" si="67"/>
        <v>0</v>
      </c>
      <c r="DM74" s="4">
        <f t="shared" si="67"/>
        <v>0</v>
      </c>
      <c r="DN74" s="4">
        <f t="shared" si="67"/>
        <v>0</v>
      </c>
      <c r="DO74" s="4">
        <f t="shared" si="67"/>
        <v>0</v>
      </c>
      <c r="DP74" s="4">
        <f t="shared" si="67"/>
        <v>0</v>
      </c>
      <c r="DQ74" s="4">
        <f t="shared" si="67"/>
        <v>0</v>
      </c>
      <c r="DR74" s="4">
        <f t="shared" si="67"/>
        <v>0</v>
      </c>
      <c r="DS74" s="4">
        <f t="shared" si="67"/>
        <v>0</v>
      </c>
      <c r="DT74" s="4">
        <f t="shared" si="67"/>
        <v>0</v>
      </c>
      <c r="DU74" s="4">
        <f t="shared" si="67"/>
        <v>0</v>
      </c>
      <c r="DV74" s="4">
        <f t="shared" si="67"/>
        <v>0</v>
      </c>
      <c r="DW74" s="4">
        <f t="shared" si="67"/>
        <v>0</v>
      </c>
      <c r="DX74" s="4">
        <f t="shared" si="67"/>
        <v>0</v>
      </c>
      <c r="DY74" s="4">
        <f t="shared" si="67"/>
        <v>0</v>
      </c>
      <c r="DZ74" s="4">
        <f t="shared" si="67"/>
        <v>0</v>
      </c>
      <c r="EA74" s="4">
        <f t="shared" si="67"/>
        <v>0</v>
      </c>
      <c r="EB74" s="4">
        <f t="shared" si="67"/>
        <v>0</v>
      </c>
      <c r="EC74" s="4">
        <f t="shared" si="67"/>
        <v>0</v>
      </c>
      <c r="ED74" s="4">
        <f t="shared" si="67"/>
        <v>0</v>
      </c>
      <c r="EE74" s="4">
        <f t="shared" si="67"/>
        <v>0</v>
      </c>
      <c r="EF74" s="4">
        <f t="shared" si="67"/>
        <v>0</v>
      </c>
      <c r="EG74" s="4">
        <f t="shared" si="67"/>
        <v>0</v>
      </c>
      <c r="EH74" s="4">
        <f t="shared" si="67"/>
        <v>0</v>
      </c>
      <c r="EI74" s="4">
        <f t="shared" si="67"/>
        <v>0</v>
      </c>
      <c r="EJ74" s="4">
        <f t="shared" si="67"/>
        <v>3194.08</v>
      </c>
      <c r="EK74" s="4">
        <f t="shared" si="67"/>
        <v>3194.08</v>
      </c>
      <c r="EL74" s="4">
        <f t="shared" si="67"/>
        <v>0</v>
      </c>
      <c r="EM74" s="4">
        <f aca="true" t="shared" si="68" ref="EM74:FR74">EM81</f>
        <v>0</v>
      </c>
      <c r="EN74" s="4">
        <f t="shared" si="68"/>
        <v>0</v>
      </c>
      <c r="EO74" s="4">
        <f t="shared" si="68"/>
        <v>0</v>
      </c>
      <c r="EP74" s="4">
        <f t="shared" si="68"/>
        <v>0</v>
      </c>
      <c r="EQ74" s="4">
        <f t="shared" si="68"/>
        <v>0</v>
      </c>
      <c r="ER74" s="4">
        <f t="shared" si="68"/>
        <v>0</v>
      </c>
      <c r="ES74" s="4">
        <f t="shared" si="68"/>
        <v>0</v>
      </c>
      <c r="ET74" s="4">
        <f t="shared" si="68"/>
        <v>0</v>
      </c>
      <c r="EU74" s="4">
        <f t="shared" si="68"/>
        <v>0</v>
      </c>
      <c r="EV74" s="4">
        <f t="shared" si="68"/>
        <v>3194.08</v>
      </c>
      <c r="EW74" s="4">
        <f t="shared" si="68"/>
        <v>0</v>
      </c>
      <c r="EX74" s="4">
        <f t="shared" si="68"/>
        <v>0</v>
      </c>
      <c r="EY74" s="4">
        <f t="shared" si="68"/>
        <v>0</v>
      </c>
      <c r="EZ74" s="4">
        <f t="shared" si="68"/>
        <v>0</v>
      </c>
      <c r="FA74" s="4">
        <f t="shared" si="68"/>
        <v>0</v>
      </c>
      <c r="FB74" s="4">
        <f t="shared" si="68"/>
        <v>0</v>
      </c>
      <c r="FC74" s="4">
        <f t="shared" si="68"/>
        <v>0</v>
      </c>
      <c r="FD74" s="4">
        <f t="shared" si="68"/>
        <v>0</v>
      </c>
      <c r="FE74" s="4">
        <f t="shared" si="68"/>
        <v>0</v>
      </c>
      <c r="FF74" s="4">
        <f t="shared" si="68"/>
        <v>0</v>
      </c>
      <c r="FG74" s="4">
        <f t="shared" si="68"/>
        <v>0</v>
      </c>
      <c r="FH74" s="4">
        <f t="shared" si="68"/>
        <v>0</v>
      </c>
      <c r="FI74" s="4">
        <f t="shared" si="68"/>
        <v>0</v>
      </c>
      <c r="FJ74" s="4">
        <f t="shared" si="68"/>
        <v>0</v>
      </c>
      <c r="FK74" s="4">
        <f t="shared" si="68"/>
        <v>0</v>
      </c>
      <c r="FL74" s="4">
        <f t="shared" si="68"/>
        <v>0</v>
      </c>
      <c r="FM74" s="4">
        <f t="shared" si="68"/>
        <v>0</v>
      </c>
      <c r="FN74" s="4">
        <f t="shared" si="68"/>
        <v>0</v>
      </c>
      <c r="FO74" s="4">
        <f t="shared" si="68"/>
        <v>0</v>
      </c>
      <c r="FP74" s="4">
        <f t="shared" si="68"/>
        <v>0</v>
      </c>
      <c r="FQ74" s="4">
        <f t="shared" si="68"/>
        <v>0</v>
      </c>
      <c r="FR74" s="4">
        <f t="shared" si="68"/>
        <v>0</v>
      </c>
      <c r="FS74" s="4">
        <f aca="true" t="shared" si="69" ref="FS74:GX74">FS81</f>
        <v>3194.08</v>
      </c>
      <c r="FT74" s="4">
        <f t="shared" si="69"/>
        <v>3194.08</v>
      </c>
      <c r="FU74" s="4">
        <f t="shared" si="69"/>
        <v>0</v>
      </c>
      <c r="FV74" s="4">
        <f t="shared" si="69"/>
        <v>0</v>
      </c>
      <c r="FW74" s="4">
        <f t="shared" si="69"/>
        <v>0</v>
      </c>
      <c r="FX74" s="4">
        <f t="shared" si="69"/>
        <v>0</v>
      </c>
      <c r="FY74" s="4">
        <f t="shared" si="69"/>
        <v>0</v>
      </c>
      <c r="FZ74" s="4">
        <f t="shared" si="69"/>
        <v>0</v>
      </c>
      <c r="GA74" s="4">
        <f t="shared" si="69"/>
        <v>0</v>
      </c>
      <c r="GB74" s="4">
        <f t="shared" si="69"/>
        <v>0</v>
      </c>
      <c r="GC74" s="4">
        <f t="shared" si="69"/>
        <v>0</v>
      </c>
      <c r="GD74" s="4">
        <f t="shared" si="69"/>
        <v>0</v>
      </c>
      <c r="GE74" s="4">
        <f t="shared" si="69"/>
        <v>3194.08</v>
      </c>
      <c r="GF74" s="4">
        <f t="shared" si="69"/>
        <v>0</v>
      </c>
      <c r="GG74" s="4">
        <f t="shared" si="69"/>
        <v>0</v>
      </c>
      <c r="GH74" s="4">
        <f t="shared" si="69"/>
        <v>0</v>
      </c>
      <c r="GI74" s="4">
        <f t="shared" si="69"/>
        <v>0</v>
      </c>
      <c r="GJ74" s="4">
        <f t="shared" si="69"/>
        <v>0</v>
      </c>
      <c r="GK74" s="4">
        <f t="shared" si="69"/>
        <v>0</v>
      </c>
      <c r="GL74" s="4">
        <f t="shared" si="69"/>
        <v>0</v>
      </c>
      <c r="GM74" s="4">
        <f t="shared" si="69"/>
        <v>0</v>
      </c>
      <c r="GN74" s="4">
        <f t="shared" si="69"/>
        <v>0</v>
      </c>
      <c r="GO74" s="4">
        <f t="shared" si="69"/>
        <v>0</v>
      </c>
      <c r="GP74" s="4">
        <f t="shared" si="69"/>
        <v>0</v>
      </c>
      <c r="GQ74" s="4">
        <f t="shared" si="69"/>
        <v>0</v>
      </c>
      <c r="GR74" s="4">
        <f t="shared" si="69"/>
        <v>0</v>
      </c>
      <c r="GS74" s="4">
        <f t="shared" si="69"/>
        <v>0</v>
      </c>
      <c r="GT74" s="4">
        <f t="shared" si="69"/>
        <v>0</v>
      </c>
      <c r="GU74" s="4">
        <f t="shared" si="69"/>
        <v>0</v>
      </c>
      <c r="GV74" s="4">
        <f t="shared" si="69"/>
        <v>0</v>
      </c>
      <c r="GW74" s="4">
        <f t="shared" si="69"/>
        <v>0</v>
      </c>
      <c r="GX74" s="4">
        <f t="shared" si="69"/>
        <v>0</v>
      </c>
    </row>
    <row r="76" spans="1:255" ht="12.75">
      <c r="A76" s="2">
        <v>17</v>
      </c>
      <c r="B76" s="2">
        <v>1</v>
      </c>
      <c r="C76" s="2">
        <f>ROW(SmtRes!A40)</f>
        <v>40</v>
      </c>
      <c r="D76" s="2"/>
      <c r="E76" s="2" t="s">
        <v>133</v>
      </c>
      <c r="F76" s="2" t="s">
        <v>134</v>
      </c>
      <c r="G76" s="2" t="s">
        <v>135</v>
      </c>
      <c r="H76" s="2" t="s">
        <v>136</v>
      </c>
      <c r="I76" s="2">
        <v>2.7</v>
      </c>
      <c r="J76" s="2">
        <v>0</v>
      </c>
      <c r="K76" s="2">
        <v>2.7</v>
      </c>
      <c r="L76" s="2"/>
      <c r="M76" s="2"/>
      <c r="N76" s="2"/>
      <c r="O76" s="2">
        <f>0</f>
        <v>0</v>
      </c>
      <c r="P76" s="2">
        <f>0</f>
        <v>0</v>
      </c>
      <c r="Q76" s="2">
        <f>0</f>
        <v>0</v>
      </c>
      <c r="R76" s="2">
        <f>0</f>
        <v>0</v>
      </c>
      <c r="S76" s="2">
        <f>0</f>
        <v>0</v>
      </c>
      <c r="T76" s="2">
        <f>0</f>
        <v>0</v>
      </c>
      <c r="U76" s="2">
        <f>0</f>
        <v>0</v>
      </c>
      <c r="V76" s="2">
        <f>0</f>
        <v>0</v>
      </c>
      <c r="W76" s="2">
        <f>0</f>
        <v>0</v>
      </c>
      <c r="X76" s="2">
        <f>0</f>
        <v>0</v>
      </c>
      <c r="Y76" s="2">
        <f>0</f>
        <v>0</v>
      </c>
      <c r="Z76" s="2"/>
      <c r="AA76" s="2">
        <v>55670666</v>
      </c>
      <c r="AB76" s="2">
        <f>ROUND((AK76),2)</f>
        <v>42.98</v>
      </c>
      <c r="AC76" s="2">
        <f>0</f>
        <v>0</v>
      </c>
      <c r="AD76" s="2">
        <f>0</f>
        <v>0</v>
      </c>
      <c r="AE76" s="2">
        <f>0</f>
        <v>0</v>
      </c>
      <c r="AF76" s="2">
        <f>0</f>
        <v>0</v>
      </c>
      <c r="AG76" s="2">
        <f>0</f>
        <v>0</v>
      </c>
      <c r="AH76" s="2">
        <f>0</f>
        <v>0</v>
      </c>
      <c r="AI76" s="2">
        <f>0</f>
        <v>0</v>
      </c>
      <c r="AJ76" s="2">
        <f>0</f>
        <v>0</v>
      </c>
      <c r="AK76" s="2">
        <v>42.98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137</v>
      </c>
      <c r="BK76" s="2"/>
      <c r="BL76" s="2"/>
      <c r="BM76" s="2">
        <v>700004</v>
      </c>
      <c r="BN76" s="2">
        <v>0</v>
      </c>
      <c r="BO76" s="2" t="s">
        <v>3</v>
      </c>
      <c r="BP76" s="2">
        <v>0</v>
      </c>
      <c r="BQ76" s="2">
        <v>19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 t="s">
        <v>3</v>
      </c>
      <c r="CC76" s="2"/>
      <c r="CD76" s="2"/>
      <c r="CE76" s="2">
        <v>0</v>
      </c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>AB76*AZ76</f>
        <v>42.98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1013</v>
      </c>
      <c r="DV76" s="2" t="s">
        <v>136</v>
      </c>
      <c r="DW76" s="2" t="s">
        <v>136</v>
      </c>
      <c r="DX76" s="2">
        <v>1</v>
      </c>
      <c r="DY76" s="2"/>
      <c r="DZ76" s="2" t="s">
        <v>3</v>
      </c>
      <c r="EA76" s="2" t="s">
        <v>3</v>
      </c>
      <c r="EB76" s="2" t="s">
        <v>3</v>
      </c>
      <c r="EC76" s="2" t="s">
        <v>3</v>
      </c>
      <c r="ED76" s="2"/>
      <c r="EE76" s="2">
        <v>55471915</v>
      </c>
      <c r="EF76" s="2">
        <v>19</v>
      </c>
      <c r="EG76" s="2" t="s">
        <v>138</v>
      </c>
      <c r="EH76" s="2">
        <v>106</v>
      </c>
      <c r="EI76" s="2" t="s">
        <v>138</v>
      </c>
      <c r="EJ76" s="2">
        <v>1</v>
      </c>
      <c r="EK76" s="2">
        <v>700004</v>
      </c>
      <c r="EL76" s="2" t="s">
        <v>138</v>
      </c>
      <c r="EM76" s="2" t="s">
        <v>139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>ROUND(IF(AND(BH76=3,BI76=3),P76,0),2)</f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3</v>
      </c>
      <c r="GB76" s="2"/>
      <c r="GC76" s="2"/>
      <c r="GD76" s="2">
        <v>1</v>
      </c>
      <c r="GE76" s="2"/>
      <c r="GF76" s="2">
        <v>-441336689</v>
      </c>
      <c r="GG76" s="2">
        <v>2</v>
      </c>
      <c r="GH76" s="2">
        <v>1</v>
      </c>
      <c r="GI76" s="2">
        <v>-2</v>
      </c>
      <c r="GJ76" s="2">
        <v>2</v>
      </c>
      <c r="GK76" s="2">
        <v>0</v>
      </c>
      <c r="GL76" s="2">
        <f>ROUND(IF(AND(BH76=3,BI76=3,FS76&lt;&gt;0),P76,0),2)</f>
        <v>0</v>
      </c>
      <c r="GM76" s="2">
        <f>ROUND(CP76*I76,2)</f>
        <v>116.05</v>
      </c>
      <c r="GN76" s="2">
        <f>IF(OR(BI76=0,BI76=1),ROUND(CP76*I76,2),0)</f>
        <v>116.05</v>
      </c>
      <c r="GO76" s="2">
        <f>IF(BI76=2,ROUND(CP76*I76,2),0)</f>
        <v>0</v>
      </c>
      <c r="GP76" s="2">
        <f>IF(BI76=4,ROUND(CP76*I76,2)+GX76,0)</f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>0</f>
        <v>0</v>
      </c>
      <c r="GW76" s="2">
        <v>1</v>
      </c>
      <c r="GX76" s="2">
        <f>0</f>
        <v>0</v>
      </c>
      <c r="GY76" s="2"/>
      <c r="GZ76" s="2"/>
      <c r="HA76" s="2">
        <v>0</v>
      </c>
      <c r="HB76" s="2">
        <v>0</v>
      </c>
      <c r="HC76" s="2">
        <v>0</v>
      </c>
      <c r="HD76" s="2">
        <f>GM76</f>
        <v>116.05</v>
      </c>
      <c r="HE76" s="2" t="s">
        <v>3</v>
      </c>
      <c r="HF76" s="2" t="s">
        <v>3</v>
      </c>
      <c r="HG76" s="2"/>
      <c r="HH76" s="2"/>
      <c r="HI76" s="2"/>
      <c r="HJ76" s="2"/>
      <c r="HK76" s="2"/>
      <c r="HL76" s="2"/>
      <c r="HM76" s="2" t="s">
        <v>3</v>
      </c>
      <c r="HN76" s="2" t="s">
        <v>3</v>
      </c>
      <c r="HO76" s="2" t="s">
        <v>3</v>
      </c>
      <c r="HP76" s="2" t="s">
        <v>3</v>
      </c>
      <c r="HQ76" s="2" t="s">
        <v>3</v>
      </c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45" ht="12.75">
      <c r="A77">
        <v>17</v>
      </c>
      <c r="B77">
        <v>1</v>
      </c>
      <c r="C77">
        <f>ROW(SmtRes!A42)</f>
        <v>42</v>
      </c>
      <c r="E77" t="s">
        <v>133</v>
      </c>
      <c r="F77" t="s">
        <v>134</v>
      </c>
      <c r="G77" t="s">
        <v>135</v>
      </c>
      <c r="H77" t="s">
        <v>136</v>
      </c>
      <c r="I77">
        <v>2.7</v>
      </c>
      <c r="J77">
        <v>0</v>
      </c>
      <c r="K77">
        <v>2.7</v>
      </c>
      <c r="O77">
        <f>0</f>
        <v>0</v>
      </c>
      <c r="P77">
        <f>0</f>
        <v>0</v>
      </c>
      <c r="Q77">
        <f>0</f>
        <v>0</v>
      </c>
      <c r="R77">
        <f>0</f>
        <v>0</v>
      </c>
      <c r="S77">
        <f>0</f>
        <v>0</v>
      </c>
      <c r="T77">
        <f>0</f>
        <v>0</v>
      </c>
      <c r="U77">
        <f>0</f>
        <v>0</v>
      </c>
      <c r="V77">
        <f>0</f>
        <v>0</v>
      </c>
      <c r="W77">
        <f>0</f>
        <v>0</v>
      </c>
      <c r="X77">
        <f>0</f>
        <v>0</v>
      </c>
      <c r="Y77">
        <f>0</f>
        <v>0</v>
      </c>
      <c r="AA77">
        <v>55671155</v>
      </c>
      <c r="AB77">
        <f>ROUND((AK77),2)</f>
        <v>42.98</v>
      </c>
      <c r="AC77">
        <f>0</f>
        <v>0</v>
      </c>
      <c r="AD77">
        <f>0</f>
        <v>0</v>
      </c>
      <c r="AE77">
        <f>0</f>
        <v>0</v>
      </c>
      <c r="AF77">
        <f>0</f>
        <v>0</v>
      </c>
      <c r="AG77">
        <f>0</f>
        <v>0</v>
      </c>
      <c r="AH77">
        <f>0</f>
        <v>0</v>
      </c>
      <c r="AI77">
        <f>0</f>
        <v>0</v>
      </c>
      <c r="AJ77">
        <f>0</f>
        <v>0</v>
      </c>
      <c r="AK77">
        <v>42.98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13.24</v>
      </c>
      <c r="BA77">
        <v>1</v>
      </c>
      <c r="BB77">
        <v>1</v>
      </c>
      <c r="BC77">
        <v>1</v>
      </c>
      <c r="BH77">
        <v>0</v>
      </c>
      <c r="BI77">
        <v>1</v>
      </c>
      <c r="BJ77" t="s">
        <v>137</v>
      </c>
      <c r="BM77">
        <v>700004</v>
      </c>
      <c r="BN77">
        <v>0</v>
      </c>
      <c r="BO77" t="s">
        <v>41</v>
      </c>
      <c r="BP77">
        <v>1</v>
      </c>
      <c r="BQ77">
        <v>19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0</v>
      </c>
      <c r="CA77">
        <v>0</v>
      </c>
      <c r="CE77">
        <v>0</v>
      </c>
      <c r="CF77">
        <v>0</v>
      </c>
      <c r="CG77">
        <v>0</v>
      </c>
      <c r="CM77">
        <v>0</v>
      </c>
      <c r="CO77">
        <v>0</v>
      </c>
      <c r="CP77">
        <f>AB77*AZ77</f>
        <v>569.0552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N77">
        <v>0</v>
      </c>
      <c r="DO77">
        <v>0</v>
      </c>
      <c r="DP77">
        <v>1</v>
      </c>
      <c r="DQ77">
        <v>1</v>
      </c>
      <c r="DU77">
        <v>1013</v>
      </c>
      <c r="DV77" t="s">
        <v>136</v>
      </c>
      <c r="DW77" t="s">
        <v>136</v>
      </c>
      <c r="DX77">
        <v>1</v>
      </c>
      <c r="EE77">
        <v>55471915</v>
      </c>
      <c r="EF77">
        <v>19</v>
      </c>
      <c r="EG77" t="s">
        <v>138</v>
      </c>
      <c r="EH77">
        <v>106</v>
      </c>
      <c r="EI77" t="s">
        <v>138</v>
      </c>
      <c r="EJ77">
        <v>1</v>
      </c>
      <c r="EK77">
        <v>700004</v>
      </c>
      <c r="EL77" t="s">
        <v>138</v>
      </c>
      <c r="EM77" t="s">
        <v>139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>ROUND(IF(AND(BH77=3,BI77=3),P77,0),2)</f>
        <v>0</v>
      </c>
      <c r="FS77">
        <v>0</v>
      </c>
      <c r="FX77">
        <v>0</v>
      </c>
      <c r="FY77">
        <v>0</v>
      </c>
      <c r="GD77">
        <v>1</v>
      </c>
      <c r="GF77">
        <v>-441336689</v>
      </c>
      <c r="GG77">
        <v>2</v>
      </c>
      <c r="GH77">
        <v>1</v>
      </c>
      <c r="GI77">
        <v>4</v>
      </c>
      <c r="GJ77">
        <v>2</v>
      </c>
      <c r="GK77">
        <v>0</v>
      </c>
      <c r="GL77">
        <f>ROUND(IF(AND(BH77=3,BI77=3,FS77&lt;&gt;0),P77,0),2)</f>
        <v>0</v>
      </c>
      <c r="GM77">
        <f>ROUND(CP77*I77,2)</f>
        <v>1536.45</v>
      </c>
      <c r="GN77">
        <f>IF(OR(BI77=0,BI77=1),ROUND(CP77*I77,2),0)</f>
        <v>1536.45</v>
      </c>
      <c r="GO77">
        <f>IF(BI77=2,ROUND(CP77*I77,2),0)</f>
        <v>0</v>
      </c>
      <c r="GP77">
        <f>IF(BI77=4,ROUND(CP77*I77,2)+GX77,0)</f>
        <v>0</v>
      </c>
      <c r="GR77">
        <v>0</v>
      </c>
      <c r="GS77">
        <v>0</v>
      </c>
      <c r="GT77">
        <v>0</v>
      </c>
      <c r="GV77">
        <f>0</f>
        <v>0</v>
      </c>
      <c r="GW77">
        <v>1</v>
      </c>
      <c r="GX77">
        <f>0</f>
        <v>0</v>
      </c>
      <c r="HA77">
        <v>0</v>
      </c>
      <c r="HB77">
        <v>0</v>
      </c>
      <c r="HC77">
        <v>0</v>
      </c>
      <c r="HD77">
        <f>GM77</f>
        <v>1536.45</v>
      </c>
      <c r="IK77">
        <v>0</v>
      </c>
    </row>
    <row r="78" spans="1:255" ht="12.75">
      <c r="A78" s="2">
        <v>17</v>
      </c>
      <c r="B78" s="2">
        <v>1</v>
      </c>
      <c r="C78" s="2"/>
      <c r="D78" s="2"/>
      <c r="E78" s="2" t="s">
        <v>140</v>
      </c>
      <c r="F78" s="2" t="s">
        <v>141</v>
      </c>
      <c r="G78" s="2" t="s">
        <v>142</v>
      </c>
      <c r="H78" s="2" t="s">
        <v>136</v>
      </c>
      <c r="I78" s="2">
        <v>2.7</v>
      </c>
      <c r="J78" s="2">
        <v>0</v>
      </c>
      <c r="K78" s="2">
        <v>2.7</v>
      </c>
      <c r="L78" s="2"/>
      <c r="M78" s="2"/>
      <c r="N78" s="2"/>
      <c r="O78" s="2">
        <f>0</f>
        <v>0</v>
      </c>
      <c r="P78" s="2">
        <f>0</f>
        <v>0</v>
      </c>
      <c r="Q78" s="2">
        <f>0</f>
        <v>0</v>
      </c>
      <c r="R78" s="2">
        <f>0</f>
        <v>0</v>
      </c>
      <c r="S78" s="2">
        <f>0</f>
        <v>0</v>
      </c>
      <c r="T78" s="2">
        <f>0</f>
        <v>0</v>
      </c>
      <c r="U78" s="2">
        <f>0</f>
        <v>0</v>
      </c>
      <c r="V78" s="2">
        <f>0</f>
        <v>0</v>
      </c>
      <c r="W78" s="2">
        <f>0</f>
        <v>0</v>
      </c>
      <c r="X78" s="2">
        <f>0</f>
        <v>0</v>
      </c>
      <c r="Y78" s="2">
        <f>0</f>
        <v>0</v>
      </c>
      <c r="Z78" s="2"/>
      <c r="AA78" s="2">
        <v>55670666</v>
      </c>
      <c r="AB78" s="2">
        <f>ROUND((AK78),2)</f>
        <v>46.37</v>
      </c>
      <c r="AC78" s="2">
        <f>0</f>
        <v>0</v>
      </c>
      <c r="AD78" s="2">
        <f>0</f>
        <v>0</v>
      </c>
      <c r="AE78" s="2">
        <f>0</f>
        <v>0</v>
      </c>
      <c r="AF78" s="2">
        <f>0</f>
        <v>0</v>
      </c>
      <c r="AG78" s="2">
        <f>0</f>
        <v>0</v>
      </c>
      <c r="AH78" s="2">
        <f>0</f>
        <v>0</v>
      </c>
      <c r="AI78" s="2">
        <f>0</f>
        <v>0</v>
      </c>
      <c r="AJ78" s="2">
        <f>0</f>
        <v>0</v>
      </c>
      <c r="AK78" s="2">
        <v>46.37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0</v>
      </c>
      <c r="BI78" s="2">
        <v>1</v>
      </c>
      <c r="BJ78" s="2" t="s">
        <v>143</v>
      </c>
      <c r="BK78" s="2"/>
      <c r="BL78" s="2"/>
      <c r="BM78" s="2">
        <v>700005</v>
      </c>
      <c r="BN78" s="2">
        <v>0</v>
      </c>
      <c r="BO78" s="2" t="s">
        <v>3</v>
      </c>
      <c r="BP78" s="2">
        <v>0</v>
      </c>
      <c r="BQ78" s="2">
        <v>10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 t="s">
        <v>3</v>
      </c>
      <c r="CC78" s="2"/>
      <c r="CD78" s="2"/>
      <c r="CE78" s="2">
        <v>0</v>
      </c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>AB78*AZ78</f>
        <v>46.37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1013</v>
      </c>
      <c r="DV78" s="2" t="s">
        <v>136</v>
      </c>
      <c r="DW78" s="2" t="s">
        <v>136</v>
      </c>
      <c r="DX78" s="2">
        <v>1</v>
      </c>
      <c r="DY78" s="2"/>
      <c r="DZ78" s="2" t="s">
        <v>3</v>
      </c>
      <c r="EA78" s="2" t="s">
        <v>3</v>
      </c>
      <c r="EB78" s="2" t="s">
        <v>3</v>
      </c>
      <c r="EC78" s="2" t="s">
        <v>3</v>
      </c>
      <c r="ED78" s="2"/>
      <c r="EE78" s="2">
        <v>55471919</v>
      </c>
      <c r="EF78" s="2">
        <v>10</v>
      </c>
      <c r="EG78" s="2" t="s">
        <v>144</v>
      </c>
      <c r="EH78" s="2">
        <v>107</v>
      </c>
      <c r="EI78" s="2" t="s">
        <v>145</v>
      </c>
      <c r="EJ78" s="2">
        <v>1</v>
      </c>
      <c r="EK78" s="2">
        <v>700005</v>
      </c>
      <c r="EL78" s="2" t="s">
        <v>145</v>
      </c>
      <c r="EM78" s="2" t="s">
        <v>146</v>
      </c>
      <c r="EN78" s="2"/>
      <c r="EO78" s="2" t="s">
        <v>3</v>
      </c>
      <c r="EP78" s="2"/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>ROUND(IF(AND(BH78=3,BI78=3),P78,0),2)</f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3</v>
      </c>
      <c r="GB78" s="2"/>
      <c r="GC78" s="2"/>
      <c r="GD78" s="2">
        <v>1</v>
      </c>
      <c r="GE78" s="2"/>
      <c r="GF78" s="2">
        <v>2009019496</v>
      </c>
      <c r="GG78" s="2">
        <v>2</v>
      </c>
      <c r="GH78" s="2">
        <v>1</v>
      </c>
      <c r="GI78" s="2">
        <v>-2</v>
      </c>
      <c r="GJ78" s="2">
        <v>2</v>
      </c>
      <c r="GK78" s="2">
        <v>0</v>
      </c>
      <c r="GL78" s="2">
        <f>ROUND(IF(AND(BH78=3,BI78=3,FS78&lt;&gt;0),P78,0),2)</f>
        <v>0</v>
      </c>
      <c r="GM78" s="2">
        <f>ROUND(CP78*I78,2)</f>
        <v>125.2</v>
      </c>
      <c r="GN78" s="2">
        <f>IF(OR(BI78=0,BI78=1),ROUND(CP78*I78,2),0)</f>
        <v>125.2</v>
      </c>
      <c r="GO78" s="2">
        <f>IF(BI78=2,ROUND(CP78*I78,2),0)</f>
        <v>0</v>
      </c>
      <c r="GP78" s="2">
        <f>IF(BI78=4,ROUND(CP78*I78,2)+GX78,0)</f>
        <v>0</v>
      </c>
      <c r="GQ78" s="2"/>
      <c r="GR78" s="2">
        <v>0</v>
      </c>
      <c r="GS78" s="2">
        <v>3</v>
      </c>
      <c r="GT78" s="2">
        <v>0</v>
      </c>
      <c r="GU78" s="2" t="s">
        <v>3</v>
      </c>
      <c r="GV78" s="2">
        <f>0</f>
        <v>0</v>
      </c>
      <c r="GW78" s="2">
        <v>1</v>
      </c>
      <c r="GX78" s="2">
        <f>0</f>
        <v>0</v>
      </c>
      <c r="GY78" s="2"/>
      <c r="GZ78" s="2"/>
      <c r="HA78" s="2">
        <v>0</v>
      </c>
      <c r="HB78" s="2">
        <v>0</v>
      </c>
      <c r="HC78" s="2">
        <v>0</v>
      </c>
      <c r="HD78" s="2">
        <f>GM78</f>
        <v>125.2</v>
      </c>
      <c r="HE78" s="2" t="s">
        <v>3</v>
      </c>
      <c r="HF78" s="2" t="s">
        <v>3</v>
      </c>
      <c r="HG78" s="2"/>
      <c r="HH78" s="2"/>
      <c r="HI78" s="2"/>
      <c r="HJ78" s="2"/>
      <c r="HK78" s="2"/>
      <c r="HL78" s="2"/>
      <c r="HM78" s="2" t="s">
        <v>3</v>
      </c>
      <c r="HN78" s="2" t="s">
        <v>3</v>
      </c>
      <c r="HO78" s="2" t="s">
        <v>3</v>
      </c>
      <c r="HP78" s="2" t="s">
        <v>3</v>
      </c>
      <c r="HQ78" s="2" t="s">
        <v>3</v>
      </c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45" ht="12.75">
      <c r="A79">
        <v>17</v>
      </c>
      <c r="B79">
        <v>1</v>
      </c>
      <c r="E79" t="s">
        <v>140</v>
      </c>
      <c r="F79" t="s">
        <v>141</v>
      </c>
      <c r="G79" t="s">
        <v>142</v>
      </c>
      <c r="H79" t="s">
        <v>136</v>
      </c>
      <c r="I79">
        <v>2.7</v>
      </c>
      <c r="J79">
        <v>0</v>
      </c>
      <c r="K79">
        <v>2.7</v>
      </c>
      <c r="O79">
        <f>0</f>
        <v>0</v>
      </c>
      <c r="P79">
        <f>0</f>
        <v>0</v>
      </c>
      <c r="Q79">
        <f>0</f>
        <v>0</v>
      </c>
      <c r="R79">
        <f>0</f>
        <v>0</v>
      </c>
      <c r="S79">
        <f>0</f>
        <v>0</v>
      </c>
      <c r="T79">
        <f>0</f>
        <v>0</v>
      </c>
      <c r="U79">
        <f>0</f>
        <v>0</v>
      </c>
      <c r="V79">
        <f>0</f>
        <v>0</v>
      </c>
      <c r="W79">
        <f>0</f>
        <v>0</v>
      </c>
      <c r="X79">
        <f>0</f>
        <v>0</v>
      </c>
      <c r="Y79">
        <f>0</f>
        <v>0</v>
      </c>
      <c r="AA79">
        <v>55671155</v>
      </c>
      <c r="AB79">
        <f>ROUND((AK79),2)</f>
        <v>46.37</v>
      </c>
      <c r="AC79">
        <f>0</f>
        <v>0</v>
      </c>
      <c r="AD79">
        <f>0</f>
        <v>0</v>
      </c>
      <c r="AE79">
        <f>0</f>
        <v>0</v>
      </c>
      <c r="AF79">
        <f>0</f>
        <v>0</v>
      </c>
      <c r="AG79">
        <f>0</f>
        <v>0</v>
      </c>
      <c r="AH79">
        <f>0</f>
        <v>0</v>
      </c>
      <c r="AI79">
        <f>0</f>
        <v>0</v>
      </c>
      <c r="AJ79">
        <f>0</f>
        <v>0</v>
      </c>
      <c r="AK79">
        <v>46.37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13.24</v>
      </c>
      <c r="BA79">
        <v>1</v>
      </c>
      <c r="BB79">
        <v>1</v>
      </c>
      <c r="BC79">
        <v>1</v>
      </c>
      <c r="BH79">
        <v>0</v>
      </c>
      <c r="BI79">
        <v>1</v>
      </c>
      <c r="BJ79" t="s">
        <v>143</v>
      </c>
      <c r="BM79">
        <v>700005</v>
      </c>
      <c r="BN79">
        <v>0</v>
      </c>
      <c r="BO79" t="s">
        <v>41</v>
      </c>
      <c r="BP79">
        <v>1</v>
      </c>
      <c r="BQ79">
        <v>10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0</v>
      </c>
      <c r="CA79">
        <v>0</v>
      </c>
      <c r="CE79">
        <v>0</v>
      </c>
      <c r="CF79">
        <v>0</v>
      </c>
      <c r="CG79">
        <v>0</v>
      </c>
      <c r="CM79">
        <v>0</v>
      </c>
      <c r="CO79">
        <v>0</v>
      </c>
      <c r="CP79">
        <f>AB79*AZ79</f>
        <v>613.9388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N79">
        <v>0</v>
      </c>
      <c r="DO79">
        <v>0</v>
      </c>
      <c r="DP79">
        <v>1</v>
      </c>
      <c r="DQ79">
        <v>1</v>
      </c>
      <c r="DU79">
        <v>1013</v>
      </c>
      <c r="DV79" t="s">
        <v>136</v>
      </c>
      <c r="DW79" t="s">
        <v>136</v>
      </c>
      <c r="DX79">
        <v>1</v>
      </c>
      <c r="EE79">
        <v>55471919</v>
      </c>
      <c r="EF79">
        <v>10</v>
      </c>
      <c r="EG79" t="s">
        <v>144</v>
      </c>
      <c r="EH79">
        <v>107</v>
      </c>
      <c r="EI79" t="s">
        <v>145</v>
      </c>
      <c r="EJ79">
        <v>1</v>
      </c>
      <c r="EK79">
        <v>700005</v>
      </c>
      <c r="EL79" t="s">
        <v>145</v>
      </c>
      <c r="EM79" t="s">
        <v>146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>ROUND(IF(AND(BH79=3,BI79=3),P79,0),2)</f>
        <v>0</v>
      </c>
      <c r="FS79">
        <v>0</v>
      </c>
      <c r="FX79">
        <v>0</v>
      </c>
      <c r="FY79">
        <v>0</v>
      </c>
      <c r="GD79">
        <v>1</v>
      </c>
      <c r="GF79">
        <v>2009019496</v>
      </c>
      <c r="GG79">
        <v>2</v>
      </c>
      <c r="GH79">
        <v>1</v>
      </c>
      <c r="GI79">
        <v>4</v>
      </c>
      <c r="GJ79">
        <v>2</v>
      </c>
      <c r="GK79">
        <v>0</v>
      </c>
      <c r="GL79">
        <f>ROUND(IF(AND(BH79=3,BI79=3,FS79&lt;&gt;0),P79,0),2)</f>
        <v>0</v>
      </c>
      <c r="GM79">
        <f>ROUND(CP79*I79,2)</f>
        <v>1657.63</v>
      </c>
      <c r="GN79">
        <f>IF(OR(BI79=0,BI79=1),ROUND(CP79*I79,2),0)</f>
        <v>1657.63</v>
      </c>
      <c r="GO79">
        <f>IF(BI79=2,ROUND(CP79*I79,2),0)</f>
        <v>0</v>
      </c>
      <c r="GP79">
        <f>IF(BI79=4,ROUND(CP79*I79,2)+GX79,0)</f>
        <v>0</v>
      </c>
      <c r="GR79">
        <v>0</v>
      </c>
      <c r="GS79">
        <v>3</v>
      </c>
      <c r="GT79">
        <v>0</v>
      </c>
      <c r="GV79">
        <f>0</f>
        <v>0</v>
      </c>
      <c r="GW79">
        <v>1</v>
      </c>
      <c r="GX79">
        <f>0</f>
        <v>0</v>
      </c>
      <c r="HA79">
        <v>0</v>
      </c>
      <c r="HB79">
        <v>0</v>
      </c>
      <c r="HC79">
        <v>0</v>
      </c>
      <c r="HD79">
        <f>GM79</f>
        <v>1657.63</v>
      </c>
      <c r="IK79">
        <v>0</v>
      </c>
    </row>
    <row r="81" spans="1:206" ht="12.75">
      <c r="A81" s="3">
        <v>51</v>
      </c>
      <c r="B81" s="3">
        <f>B72</f>
        <v>1</v>
      </c>
      <c r="C81" s="3">
        <f>A72</f>
        <v>4</v>
      </c>
      <c r="D81" s="3">
        <f>ROW(A72)</f>
        <v>72</v>
      </c>
      <c r="E81" s="3"/>
      <c r="F81" s="3" t="str">
        <f>IF(F72&lt;&gt;"",F72,"")</f>
        <v>Новый раздел</v>
      </c>
      <c r="G81" s="3" t="str">
        <f>IF(G72&lt;&gt;"",G72,"")</f>
        <v>Разные работы</v>
      </c>
      <c r="H81" s="3">
        <v>0</v>
      </c>
      <c r="I81" s="3"/>
      <c r="J81" s="3"/>
      <c r="K81" s="3"/>
      <c r="L81" s="3"/>
      <c r="M81" s="3"/>
      <c r="N81" s="3"/>
      <c r="O81" s="3">
        <f aca="true" t="shared" si="70" ref="O81:T81">ROUND(AB81,2)</f>
        <v>0</v>
      </c>
      <c r="P81" s="3">
        <f t="shared" si="70"/>
        <v>0</v>
      </c>
      <c r="Q81" s="3">
        <f t="shared" si="70"/>
        <v>0</v>
      </c>
      <c r="R81" s="3">
        <f t="shared" si="70"/>
        <v>0</v>
      </c>
      <c r="S81" s="3">
        <f t="shared" si="70"/>
        <v>0</v>
      </c>
      <c r="T81" s="3">
        <f t="shared" si="70"/>
        <v>0</v>
      </c>
      <c r="U81" s="3">
        <f>AH81</f>
        <v>0</v>
      </c>
      <c r="V81" s="3">
        <f>AI81</f>
        <v>0</v>
      </c>
      <c r="W81" s="3">
        <f>ROUND(AJ81,2)</f>
        <v>0</v>
      </c>
      <c r="X81" s="3">
        <f>ROUND(AK81,2)</f>
        <v>0</v>
      </c>
      <c r="Y81" s="3">
        <f>ROUND(AL81,2)</f>
        <v>0</v>
      </c>
      <c r="Z81" s="3"/>
      <c r="AA81" s="3"/>
      <c r="AB81" s="3">
        <f>ROUND(SUMIF(AA76:AA79,"=55670666",O76:O79),2)</f>
        <v>0</v>
      </c>
      <c r="AC81" s="3">
        <f>ROUND(SUMIF(AA76:AA79,"=55670666",P76:P79),2)</f>
        <v>0</v>
      </c>
      <c r="AD81" s="3">
        <f>ROUND(SUMIF(AA76:AA79,"=55670666",Q76:Q79),2)</f>
        <v>0</v>
      </c>
      <c r="AE81" s="3">
        <f>ROUND(SUMIF(AA76:AA79,"=55670666",R76:R79),2)</f>
        <v>0</v>
      </c>
      <c r="AF81" s="3">
        <f>ROUND(SUMIF(AA76:AA79,"=55670666",S76:S79),2)</f>
        <v>0</v>
      </c>
      <c r="AG81" s="3">
        <f>ROUND(SUMIF(AA76:AA79,"=55670666",T76:T79),2)</f>
        <v>0</v>
      </c>
      <c r="AH81" s="3">
        <f>SUMIF(AA76:AA79,"=55670666",U76:U79)</f>
        <v>0</v>
      </c>
      <c r="AI81" s="3">
        <f>SUMIF(AA76:AA79,"=55670666",V76:V79)</f>
        <v>0</v>
      </c>
      <c r="AJ81" s="3">
        <f>ROUND(SUMIF(AA76:AA79,"=55670666",W76:W79),2)</f>
        <v>0</v>
      </c>
      <c r="AK81" s="3">
        <f>ROUND(SUMIF(AA76:AA79,"=55670666",X76:X79),2)</f>
        <v>0</v>
      </c>
      <c r="AL81" s="3">
        <f>ROUND(SUMIF(AA76:AA79,"=55670666",Y76:Y79),2)</f>
        <v>0</v>
      </c>
      <c r="AM81" s="3"/>
      <c r="AN81" s="3"/>
      <c r="AO81" s="3">
        <f aca="true" t="shared" si="71" ref="AO81:BD81">ROUND(BX81,2)</f>
        <v>0</v>
      </c>
      <c r="AP81" s="3">
        <f t="shared" si="71"/>
        <v>0</v>
      </c>
      <c r="AQ81" s="3">
        <f t="shared" si="71"/>
        <v>0</v>
      </c>
      <c r="AR81" s="3">
        <f t="shared" si="71"/>
        <v>241.25</v>
      </c>
      <c r="AS81" s="3">
        <f t="shared" si="71"/>
        <v>241.25</v>
      </c>
      <c r="AT81" s="3">
        <f t="shared" si="71"/>
        <v>0</v>
      </c>
      <c r="AU81" s="3">
        <f t="shared" si="71"/>
        <v>0</v>
      </c>
      <c r="AV81" s="3">
        <f t="shared" si="71"/>
        <v>0</v>
      </c>
      <c r="AW81" s="3">
        <f t="shared" si="71"/>
        <v>0</v>
      </c>
      <c r="AX81" s="3">
        <f t="shared" si="71"/>
        <v>0</v>
      </c>
      <c r="AY81" s="3">
        <f t="shared" si="71"/>
        <v>0</v>
      </c>
      <c r="AZ81" s="3">
        <f t="shared" si="71"/>
        <v>0</v>
      </c>
      <c r="BA81" s="3">
        <f t="shared" si="71"/>
        <v>0</v>
      </c>
      <c r="BB81" s="3">
        <f t="shared" si="71"/>
        <v>0</v>
      </c>
      <c r="BC81" s="3">
        <f t="shared" si="71"/>
        <v>0</v>
      </c>
      <c r="BD81" s="3">
        <f t="shared" si="71"/>
        <v>241.25</v>
      </c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>
        <f>ROUND(SUMIF(AA76:AA79,"=55670666",FQ76:FQ79),2)</f>
        <v>0</v>
      </c>
      <c r="BY81" s="3">
        <f>ROUND(SUMIF(AA76:AA79,"=55670666",FR76:FR79),2)</f>
        <v>0</v>
      </c>
      <c r="BZ81" s="3">
        <f>ROUND(SUMIF(AA76:AA79,"=55670666",GL76:GL79),2)</f>
        <v>0</v>
      </c>
      <c r="CA81" s="3">
        <f>ROUND(SUMIF(AA76:AA79,"=55670666",GM76:GM79),2)</f>
        <v>241.25</v>
      </c>
      <c r="CB81" s="3">
        <f>ROUND(SUMIF(AA76:AA79,"=55670666",GN76:GN79),2)</f>
        <v>241.25</v>
      </c>
      <c r="CC81" s="3">
        <f>ROUND(SUMIF(AA76:AA79,"=55670666",GO76:GO79),2)</f>
        <v>0</v>
      </c>
      <c r="CD81" s="3">
        <f>ROUND(SUMIF(AA76:AA79,"=55670666",GP76:GP79),2)</f>
        <v>0</v>
      </c>
      <c r="CE81" s="3">
        <f>AC81-BX81</f>
        <v>0</v>
      </c>
      <c r="CF81" s="3">
        <f>AC81-BY81</f>
        <v>0</v>
      </c>
      <c r="CG81" s="3">
        <f>BX81-BZ81</f>
        <v>0</v>
      </c>
      <c r="CH81" s="3">
        <f>AC81-BX81-BY81+BZ81</f>
        <v>0</v>
      </c>
      <c r="CI81" s="3">
        <f>BY81-BZ81</f>
        <v>0</v>
      </c>
      <c r="CJ81" s="3">
        <f>ROUND(SUMIF(AA76:AA79,"=55670666",GX76:GX79),2)</f>
        <v>0</v>
      </c>
      <c r="CK81" s="3">
        <f>ROUND(SUMIF(AA76:AA79,"=55670666",GY76:GY79),2)</f>
        <v>0</v>
      </c>
      <c r="CL81" s="3">
        <f>ROUND(SUMIF(AA76:AA79,"=55670666",GZ76:GZ79),2)</f>
        <v>0</v>
      </c>
      <c r="CM81" s="3">
        <f>ROUND(SUMIF(AA76:AA79,"=55670666",HD76:HD79),2)</f>
        <v>241.25</v>
      </c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4">
        <f aca="true" t="shared" si="72" ref="DG81:DL81">ROUND(DT81,2)</f>
        <v>0</v>
      </c>
      <c r="DH81" s="4">
        <f t="shared" si="72"/>
        <v>0</v>
      </c>
      <c r="DI81" s="4">
        <f t="shared" si="72"/>
        <v>0</v>
      </c>
      <c r="DJ81" s="4">
        <f t="shared" si="72"/>
        <v>0</v>
      </c>
      <c r="DK81" s="4">
        <f t="shared" si="72"/>
        <v>0</v>
      </c>
      <c r="DL81" s="4">
        <f t="shared" si="72"/>
        <v>0</v>
      </c>
      <c r="DM81" s="4">
        <f>DZ81</f>
        <v>0</v>
      </c>
      <c r="DN81" s="4">
        <f>EA81</f>
        <v>0</v>
      </c>
      <c r="DO81" s="4">
        <f>ROUND(EB81,2)</f>
        <v>0</v>
      </c>
      <c r="DP81" s="4">
        <f>ROUND(EC81,2)</f>
        <v>0</v>
      </c>
      <c r="DQ81" s="4">
        <f>ROUND(ED81,2)</f>
        <v>0</v>
      </c>
      <c r="DR81" s="4"/>
      <c r="DS81" s="4"/>
      <c r="DT81" s="4">
        <f>ROUND(SUMIF(AA76:AA79,"=55671155",O76:O79),2)</f>
        <v>0</v>
      </c>
      <c r="DU81" s="4">
        <f>ROUND(SUMIF(AA76:AA79,"=55671155",P76:P79),2)</f>
        <v>0</v>
      </c>
      <c r="DV81" s="4">
        <f>ROUND(SUMIF(AA76:AA79,"=55671155",Q76:Q79),2)</f>
        <v>0</v>
      </c>
      <c r="DW81" s="4">
        <f>ROUND(SUMIF(AA76:AA79,"=55671155",R76:R79),2)</f>
        <v>0</v>
      </c>
      <c r="DX81" s="4">
        <f>ROUND(SUMIF(AA76:AA79,"=55671155",S76:S79),2)</f>
        <v>0</v>
      </c>
      <c r="DY81" s="4">
        <f>ROUND(SUMIF(AA76:AA79,"=55671155",T76:T79),2)</f>
        <v>0</v>
      </c>
      <c r="DZ81" s="4">
        <f>SUMIF(AA76:AA79,"=55671155",U76:U79)</f>
        <v>0</v>
      </c>
      <c r="EA81" s="4">
        <f>SUMIF(AA76:AA79,"=55671155",V76:V79)</f>
        <v>0</v>
      </c>
      <c r="EB81" s="4">
        <f>ROUND(SUMIF(AA76:AA79,"=55671155",W76:W79),2)</f>
        <v>0</v>
      </c>
      <c r="EC81" s="4">
        <f>ROUND(SUMIF(AA76:AA79,"=55671155",X76:X79),2)</f>
        <v>0</v>
      </c>
      <c r="ED81" s="4">
        <f>ROUND(SUMIF(AA76:AA79,"=55671155",Y76:Y79),2)</f>
        <v>0</v>
      </c>
      <c r="EE81" s="4"/>
      <c r="EF81" s="4"/>
      <c r="EG81" s="4">
        <f aca="true" t="shared" si="73" ref="EG81:EV81">ROUND(FP81,2)</f>
        <v>0</v>
      </c>
      <c r="EH81" s="4">
        <f t="shared" si="73"/>
        <v>0</v>
      </c>
      <c r="EI81" s="4">
        <f t="shared" si="73"/>
        <v>0</v>
      </c>
      <c r="EJ81" s="4">
        <f t="shared" si="73"/>
        <v>3194.08</v>
      </c>
      <c r="EK81" s="4">
        <f t="shared" si="73"/>
        <v>3194.08</v>
      </c>
      <c r="EL81" s="4">
        <f t="shared" si="73"/>
        <v>0</v>
      </c>
      <c r="EM81" s="4">
        <f t="shared" si="73"/>
        <v>0</v>
      </c>
      <c r="EN81" s="4">
        <f t="shared" si="73"/>
        <v>0</v>
      </c>
      <c r="EO81" s="4">
        <f t="shared" si="73"/>
        <v>0</v>
      </c>
      <c r="EP81" s="4">
        <f t="shared" si="73"/>
        <v>0</v>
      </c>
      <c r="EQ81" s="4">
        <f t="shared" si="73"/>
        <v>0</v>
      </c>
      <c r="ER81" s="4">
        <f t="shared" si="73"/>
        <v>0</v>
      </c>
      <c r="ES81" s="4">
        <f t="shared" si="73"/>
        <v>0</v>
      </c>
      <c r="ET81" s="4">
        <f t="shared" si="73"/>
        <v>0</v>
      </c>
      <c r="EU81" s="4">
        <f t="shared" si="73"/>
        <v>0</v>
      </c>
      <c r="EV81" s="4">
        <f t="shared" si="73"/>
        <v>3194.08</v>
      </c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>
        <f>ROUND(SUMIF(AA76:AA79,"=55671155",FQ76:FQ79),2)</f>
        <v>0</v>
      </c>
      <c r="FQ81" s="4">
        <f>ROUND(SUMIF(AA76:AA79,"=55671155",FR76:FR79),2)</f>
        <v>0</v>
      </c>
      <c r="FR81" s="4">
        <f>ROUND(SUMIF(AA76:AA79,"=55671155",GL76:GL79),2)</f>
        <v>0</v>
      </c>
      <c r="FS81" s="4">
        <f>ROUND(SUMIF(AA76:AA79,"=55671155",GM76:GM79),2)</f>
        <v>3194.08</v>
      </c>
      <c r="FT81" s="4">
        <f>ROUND(SUMIF(AA76:AA79,"=55671155",GN76:GN79),2)</f>
        <v>3194.08</v>
      </c>
      <c r="FU81" s="4">
        <f>ROUND(SUMIF(AA76:AA79,"=55671155",GO76:GO79),2)</f>
        <v>0</v>
      </c>
      <c r="FV81" s="4">
        <f>ROUND(SUMIF(AA76:AA79,"=55671155",GP76:GP79),2)</f>
        <v>0</v>
      </c>
      <c r="FW81" s="4">
        <f>DU81-FP81</f>
        <v>0</v>
      </c>
      <c r="FX81" s="4">
        <f>DU81-FQ81</f>
        <v>0</v>
      </c>
      <c r="FY81" s="4">
        <f>FP81-FR81</f>
        <v>0</v>
      </c>
      <c r="FZ81" s="4">
        <f>DU81-FP81-FQ81+FR81</f>
        <v>0</v>
      </c>
      <c r="GA81" s="4">
        <f>FQ81-FR81</f>
        <v>0</v>
      </c>
      <c r="GB81" s="4">
        <f>ROUND(SUMIF(AA76:AA79,"=55671155",GX76:GX79),2)</f>
        <v>0</v>
      </c>
      <c r="GC81" s="4">
        <f>ROUND(SUMIF(AA76:AA79,"=55671155",GY76:GY79),2)</f>
        <v>0</v>
      </c>
      <c r="GD81" s="4">
        <f>ROUND(SUMIF(AA76:AA79,"=55671155",GZ76:GZ79),2)</f>
        <v>0</v>
      </c>
      <c r="GE81" s="4">
        <f>ROUND(SUMIF(AA76:AA79,"=55671155",HD76:HD79),2)</f>
        <v>3194.08</v>
      </c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>
        <v>0</v>
      </c>
    </row>
    <row r="83" spans="1:28" ht="12.75">
      <c r="A83" s="5">
        <v>50</v>
      </c>
      <c r="B83" s="5">
        <v>0</v>
      </c>
      <c r="C83" s="5">
        <v>0</v>
      </c>
      <c r="D83" s="5">
        <v>1</v>
      </c>
      <c r="E83" s="5">
        <v>201</v>
      </c>
      <c r="F83" s="5">
        <f>ROUND(Source!O81,O83)</f>
        <v>0</v>
      </c>
      <c r="G83" s="5" t="s">
        <v>76</v>
      </c>
      <c r="H83" s="5" t="s">
        <v>77</v>
      </c>
      <c r="I83" s="5"/>
      <c r="J83" s="5"/>
      <c r="K83" s="5">
        <v>201</v>
      </c>
      <c r="L83" s="5">
        <v>1</v>
      </c>
      <c r="M83" s="5">
        <v>3</v>
      </c>
      <c r="N83" s="5" t="s">
        <v>3</v>
      </c>
      <c r="O83" s="5">
        <v>2</v>
      </c>
      <c r="P83" s="5">
        <f>ROUND(Source!DG81,O83)</f>
        <v>0</v>
      </c>
      <c r="Q83" s="5"/>
      <c r="R83" s="5"/>
      <c r="S83" s="5"/>
      <c r="T83" s="5"/>
      <c r="U83" s="5"/>
      <c r="V83" s="5"/>
      <c r="W83" s="5">
        <v>241.25</v>
      </c>
      <c r="X83" s="5">
        <v>1</v>
      </c>
      <c r="Y83" s="5">
        <v>241.25</v>
      </c>
      <c r="Z83" s="5">
        <v>3194.08</v>
      </c>
      <c r="AA83" s="5">
        <v>1</v>
      </c>
      <c r="AB83" s="5">
        <v>3194.08</v>
      </c>
    </row>
    <row r="84" spans="1:28" ht="12.75">
      <c r="A84" s="5">
        <v>50</v>
      </c>
      <c r="B84" s="5">
        <v>0</v>
      </c>
      <c r="C84" s="5">
        <v>0</v>
      </c>
      <c r="D84" s="5">
        <v>1</v>
      </c>
      <c r="E84" s="5">
        <v>202</v>
      </c>
      <c r="F84" s="5">
        <f>ROUND(Source!P81,O84)</f>
        <v>0</v>
      </c>
      <c r="G84" s="5" t="s">
        <v>78</v>
      </c>
      <c r="H84" s="5" t="s">
        <v>79</v>
      </c>
      <c r="I84" s="5"/>
      <c r="J84" s="5"/>
      <c r="K84" s="5">
        <v>202</v>
      </c>
      <c r="L84" s="5">
        <v>2</v>
      </c>
      <c r="M84" s="5">
        <v>3</v>
      </c>
      <c r="N84" s="5" t="s">
        <v>3</v>
      </c>
      <c r="O84" s="5">
        <v>2</v>
      </c>
      <c r="P84" s="5">
        <f>ROUND(Source!DH81,O84)</f>
        <v>0</v>
      </c>
      <c r="Q84" s="5"/>
      <c r="R84" s="5"/>
      <c r="S84" s="5"/>
      <c r="T84" s="5"/>
      <c r="U84" s="5"/>
      <c r="V84" s="5"/>
      <c r="W84" s="5">
        <v>0</v>
      </c>
      <c r="X84" s="5">
        <v>1</v>
      </c>
      <c r="Y84" s="5">
        <v>0</v>
      </c>
      <c r="Z84" s="5">
        <v>0</v>
      </c>
      <c r="AA84" s="5">
        <v>1</v>
      </c>
      <c r="AB84" s="5">
        <v>0</v>
      </c>
    </row>
    <row r="85" spans="1:28" ht="12.75">
      <c r="A85" s="5">
        <v>50</v>
      </c>
      <c r="B85" s="5">
        <v>0</v>
      </c>
      <c r="C85" s="5">
        <v>0</v>
      </c>
      <c r="D85" s="5">
        <v>1</v>
      </c>
      <c r="E85" s="5">
        <v>222</v>
      </c>
      <c r="F85" s="5">
        <f>ROUND(Source!AO81,O85)</f>
        <v>0</v>
      </c>
      <c r="G85" s="5" t="s">
        <v>80</v>
      </c>
      <c r="H85" s="5" t="s">
        <v>81</v>
      </c>
      <c r="I85" s="5"/>
      <c r="J85" s="5"/>
      <c r="K85" s="5">
        <v>222</v>
      </c>
      <c r="L85" s="5">
        <v>3</v>
      </c>
      <c r="M85" s="5">
        <v>3</v>
      </c>
      <c r="N85" s="5" t="s">
        <v>3</v>
      </c>
      <c r="O85" s="5">
        <v>2</v>
      </c>
      <c r="P85" s="5">
        <f>ROUND(Source!EG81,O85)</f>
        <v>0</v>
      </c>
      <c r="Q85" s="5"/>
      <c r="R85" s="5"/>
      <c r="S85" s="5"/>
      <c r="T85" s="5"/>
      <c r="U85" s="5"/>
      <c r="V85" s="5"/>
      <c r="W85" s="5">
        <v>0</v>
      </c>
      <c r="X85" s="5">
        <v>1</v>
      </c>
      <c r="Y85" s="5">
        <v>0</v>
      </c>
      <c r="Z85" s="5">
        <v>0</v>
      </c>
      <c r="AA85" s="5">
        <v>1</v>
      </c>
      <c r="AB85" s="5">
        <v>0</v>
      </c>
    </row>
    <row r="86" spans="1:28" ht="12.75">
      <c r="A86" s="5">
        <v>50</v>
      </c>
      <c r="B86" s="5">
        <v>0</v>
      </c>
      <c r="C86" s="5">
        <v>0</v>
      </c>
      <c r="D86" s="5">
        <v>1</v>
      </c>
      <c r="E86" s="5">
        <v>225</v>
      </c>
      <c r="F86" s="5">
        <f>ROUND(Source!AV81,O86)</f>
        <v>0</v>
      </c>
      <c r="G86" s="5" t="s">
        <v>82</v>
      </c>
      <c r="H86" s="5" t="s">
        <v>83</v>
      </c>
      <c r="I86" s="5"/>
      <c r="J86" s="5"/>
      <c r="K86" s="5">
        <v>225</v>
      </c>
      <c r="L86" s="5">
        <v>4</v>
      </c>
      <c r="M86" s="5">
        <v>3</v>
      </c>
      <c r="N86" s="5" t="s">
        <v>3</v>
      </c>
      <c r="O86" s="5">
        <v>2</v>
      </c>
      <c r="P86" s="5">
        <f>ROUND(Source!EN81,O86)</f>
        <v>0</v>
      </c>
      <c r="Q86" s="5"/>
      <c r="R86" s="5"/>
      <c r="S86" s="5"/>
      <c r="T86" s="5"/>
      <c r="U86" s="5"/>
      <c r="V86" s="5"/>
      <c r="W86" s="5">
        <v>0</v>
      </c>
      <c r="X86" s="5">
        <v>1</v>
      </c>
      <c r="Y86" s="5">
        <v>0</v>
      </c>
      <c r="Z86" s="5">
        <v>0</v>
      </c>
      <c r="AA86" s="5">
        <v>1</v>
      </c>
      <c r="AB86" s="5">
        <v>0</v>
      </c>
    </row>
    <row r="87" spans="1:28" ht="12.75">
      <c r="A87" s="5">
        <v>50</v>
      </c>
      <c r="B87" s="5">
        <v>0</v>
      </c>
      <c r="C87" s="5">
        <v>0</v>
      </c>
      <c r="D87" s="5">
        <v>1</v>
      </c>
      <c r="E87" s="5">
        <v>226</v>
      </c>
      <c r="F87" s="5">
        <f>ROUND(Source!AW81,O87)</f>
        <v>0</v>
      </c>
      <c r="G87" s="5" t="s">
        <v>84</v>
      </c>
      <c r="H87" s="5" t="s">
        <v>85</v>
      </c>
      <c r="I87" s="5"/>
      <c r="J87" s="5"/>
      <c r="K87" s="5">
        <v>226</v>
      </c>
      <c r="L87" s="5">
        <v>5</v>
      </c>
      <c r="M87" s="5">
        <v>3</v>
      </c>
      <c r="N87" s="5" t="s">
        <v>3</v>
      </c>
      <c r="O87" s="5">
        <v>2</v>
      </c>
      <c r="P87" s="5">
        <f>ROUND(Source!EO81,O87)</f>
        <v>0</v>
      </c>
      <c r="Q87" s="5"/>
      <c r="R87" s="5"/>
      <c r="S87" s="5"/>
      <c r="T87" s="5"/>
      <c r="U87" s="5"/>
      <c r="V87" s="5"/>
      <c r="W87" s="5">
        <v>0</v>
      </c>
      <c r="X87" s="5">
        <v>1</v>
      </c>
      <c r="Y87" s="5">
        <v>0</v>
      </c>
      <c r="Z87" s="5">
        <v>0</v>
      </c>
      <c r="AA87" s="5">
        <v>1</v>
      </c>
      <c r="AB87" s="5">
        <v>0</v>
      </c>
    </row>
    <row r="88" spans="1:28" ht="12.75">
      <c r="A88" s="5">
        <v>50</v>
      </c>
      <c r="B88" s="5">
        <v>0</v>
      </c>
      <c r="C88" s="5">
        <v>0</v>
      </c>
      <c r="D88" s="5">
        <v>1</v>
      </c>
      <c r="E88" s="5">
        <v>227</v>
      </c>
      <c r="F88" s="5">
        <f>ROUND(Source!AX81,O88)</f>
        <v>0</v>
      </c>
      <c r="G88" s="5" t="s">
        <v>86</v>
      </c>
      <c r="H88" s="5" t="s">
        <v>87</v>
      </c>
      <c r="I88" s="5"/>
      <c r="J88" s="5"/>
      <c r="K88" s="5">
        <v>227</v>
      </c>
      <c r="L88" s="5">
        <v>6</v>
      </c>
      <c r="M88" s="5">
        <v>3</v>
      </c>
      <c r="N88" s="5" t="s">
        <v>3</v>
      </c>
      <c r="O88" s="5">
        <v>2</v>
      </c>
      <c r="P88" s="5">
        <f>ROUND(Source!EP81,O88)</f>
        <v>0</v>
      </c>
      <c r="Q88" s="5"/>
      <c r="R88" s="5"/>
      <c r="S88" s="5"/>
      <c r="T88" s="5"/>
      <c r="U88" s="5"/>
      <c r="V88" s="5"/>
      <c r="W88" s="5">
        <v>0</v>
      </c>
      <c r="X88" s="5">
        <v>1</v>
      </c>
      <c r="Y88" s="5">
        <v>0</v>
      </c>
      <c r="Z88" s="5">
        <v>0</v>
      </c>
      <c r="AA88" s="5">
        <v>1</v>
      </c>
      <c r="AB88" s="5">
        <v>0</v>
      </c>
    </row>
    <row r="89" spans="1:28" ht="12.75">
      <c r="A89" s="5">
        <v>50</v>
      </c>
      <c r="B89" s="5">
        <v>0</v>
      </c>
      <c r="C89" s="5">
        <v>0</v>
      </c>
      <c r="D89" s="5">
        <v>1</v>
      </c>
      <c r="E89" s="5">
        <v>228</v>
      </c>
      <c r="F89" s="5">
        <f>ROUND(Source!AY81,O89)</f>
        <v>0</v>
      </c>
      <c r="G89" s="5" t="s">
        <v>88</v>
      </c>
      <c r="H89" s="5" t="s">
        <v>89</v>
      </c>
      <c r="I89" s="5"/>
      <c r="J89" s="5"/>
      <c r="K89" s="5">
        <v>228</v>
      </c>
      <c r="L89" s="5">
        <v>7</v>
      </c>
      <c r="M89" s="5">
        <v>3</v>
      </c>
      <c r="N89" s="5" t="s">
        <v>3</v>
      </c>
      <c r="O89" s="5">
        <v>2</v>
      </c>
      <c r="P89" s="5">
        <f>ROUND(Source!EQ81,O89)</f>
        <v>0</v>
      </c>
      <c r="Q89" s="5"/>
      <c r="R89" s="5"/>
      <c r="S89" s="5"/>
      <c r="T89" s="5"/>
      <c r="U89" s="5"/>
      <c r="V89" s="5"/>
      <c r="W89" s="5">
        <v>0</v>
      </c>
      <c r="X89" s="5">
        <v>1</v>
      </c>
      <c r="Y89" s="5">
        <v>0</v>
      </c>
      <c r="Z89" s="5">
        <v>0</v>
      </c>
      <c r="AA89" s="5">
        <v>1</v>
      </c>
      <c r="AB89" s="5">
        <v>0</v>
      </c>
    </row>
    <row r="90" spans="1:28" ht="12.75">
      <c r="A90" s="5">
        <v>50</v>
      </c>
      <c r="B90" s="5">
        <v>0</v>
      </c>
      <c r="C90" s="5">
        <v>0</v>
      </c>
      <c r="D90" s="5">
        <v>1</v>
      </c>
      <c r="E90" s="5">
        <v>216</v>
      </c>
      <c r="F90" s="5">
        <f>ROUND(Source!AP81,O90)</f>
        <v>0</v>
      </c>
      <c r="G90" s="5" t="s">
        <v>90</v>
      </c>
      <c r="H90" s="5" t="s">
        <v>91</v>
      </c>
      <c r="I90" s="5"/>
      <c r="J90" s="5"/>
      <c r="K90" s="5">
        <v>216</v>
      </c>
      <c r="L90" s="5">
        <v>8</v>
      </c>
      <c r="M90" s="5">
        <v>3</v>
      </c>
      <c r="N90" s="5" t="s">
        <v>3</v>
      </c>
      <c r="O90" s="5">
        <v>2</v>
      </c>
      <c r="P90" s="5">
        <f>ROUND(Source!EH81,O90)</f>
        <v>0</v>
      </c>
      <c r="Q90" s="5"/>
      <c r="R90" s="5"/>
      <c r="S90" s="5"/>
      <c r="T90" s="5"/>
      <c r="U90" s="5"/>
      <c r="V90" s="5"/>
      <c r="W90" s="5">
        <v>0</v>
      </c>
      <c r="X90" s="5">
        <v>1</v>
      </c>
      <c r="Y90" s="5">
        <v>0</v>
      </c>
      <c r="Z90" s="5">
        <v>0</v>
      </c>
      <c r="AA90" s="5">
        <v>1</v>
      </c>
      <c r="AB90" s="5">
        <v>0</v>
      </c>
    </row>
    <row r="91" spans="1:28" ht="12.75">
      <c r="A91" s="5">
        <v>50</v>
      </c>
      <c r="B91" s="5">
        <v>0</v>
      </c>
      <c r="C91" s="5">
        <v>0</v>
      </c>
      <c r="D91" s="5">
        <v>1</v>
      </c>
      <c r="E91" s="5">
        <v>223</v>
      </c>
      <c r="F91" s="5">
        <f>ROUND(Source!AQ81,O91)</f>
        <v>0</v>
      </c>
      <c r="G91" s="5" t="s">
        <v>92</v>
      </c>
      <c r="H91" s="5" t="s">
        <v>93</v>
      </c>
      <c r="I91" s="5"/>
      <c r="J91" s="5"/>
      <c r="K91" s="5">
        <v>223</v>
      </c>
      <c r="L91" s="5">
        <v>9</v>
      </c>
      <c r="M91" s="5">
        <v>3</v>
      </c>
      <c r="N91" s="5" t="s">
        <v>3</v>
      </c>
      <c r="O91" s="5">
        <v>2</v>
      </c>
      <c r="P91" s="5">
        <f>ROUND(Source!EI81,O91)</f>
        <v>0</v>
      </c>
      <c r="Q91" s="5"/>
      <c r="R91" s="5"/>
      <c r="S91" s="5"/>
      <c r="T91" s="5"/>
      <c r="U91" s="5"/>
      <c r="V91" s="5"/>
      <c r="W91" s="5">
        <v>0</v>
      </c>
      <c r="X91" s="5">
        <v>1</v>
      </c>
      <c r="Y91" s="5">
        <v>0</v>
      </c>
      <c r="Z91" s="5">
        <v>0</v>
      </c>
      <c r="AA91" s="5">
        <v>1</v>
      </c>
      <c r="AB91" s="5">
        <v>0</v>
      </c>
    </row>
    <row r="92" spans="1:28" ht="12.75">
      <c r="A92" s="5">
        <v>50</v>
      </c>
      <c r="B92" s="5">
        <v>0</v>
      </c>
      <c r="C92" s="5">
        <v>0</v>
      </c>
      <c r="D92" s="5">
        <v>1</v>
      </c>
      <c r="E92" s="5">
        <v>229</v>
      </c>
      <c r="F92" s="5">
        <f>ROUND(Source!AZ81,O92)</f>
        <v>0</v>
      </c>
      <c r="G92" s="5" t="s">
        <v>94</v>
      </c>
      <c r="H92" s="5" t="s">
        <v>95</v>
      </c>
      <c r="I92" s="5"/>
      <c r="J92" s="5"/>
      <c r="K92" s="5">
        <v>229</v>
      </c>
      <c r="L92" s="5">
        <v>10</v>
      </c>
      <c r="M92" s="5">
        <v>3</v>
      </c>
      <c r="N92" s="5" t="s">
        <v>3</v>
      </c>
      <c r="O92" s="5">
        <v>2</v>
      </c>
      <c r="P92" s="5">
        <f>ROUND(Source!ER81,O92)</f>
        <v>0</v>
      </c>
      <c r="Q92" s="5"/>
      <c r="R92" s="5"/>
      <c r="S92" s="5"/>
      <c r="T92" s="5"/>
      <c r="U92" s="5"/>
      <c r="V92" s="5"/>
      <c r="W92" s="5">
        <v>0</v>
      </c>
      <c r="X92" s="5">
        <v>1</v>
      </c>
      <c r="Y92" s="5">
        <v>0</v>
      </c>
      <c r="Z92" s="5">
        <v>0</v>
      </c>
      <c r="AA92" s="5">
        <v>1</v>
      </c>
      <c r="AB92" s="5">
        <v>0</v>
      </c>
    </row>
    <row r="93" spans="1:28" ht="12.75">
      <c r="A93" s="5">
        <v>50</v>
      </c>
      <c r="B93" s="5">
        <v>0</v>
      </c>
      <c r="C93" s="5">
        <v>0</v>
      </c>
      <c r="D93" s="5">
        <v>1</v>
      </c>
      <c r="E93" s="5">
        <v>203</v>
      </c>
      <c r="F93" s="5">
        <f>ROUND(Source!Q81,O93)</f>
        <v>0</v>
      </c>
      <c r="G93" s="5" t="s">
        <v>96</v>
      </c>
      <c r="H93" s="5" t="s">
        <v>97</v>
      </c>
      <c r="I93" s="5"/>
      <c r="J93" s="5"/>
      <c r="K93" s="5">
        <v>203</v>
      </c>
      <c r="L93" s="5">
        <v>11</v>
      </c>
      <c r="M93" s="5">
        <v>3</v>
      </c>
      <c r="N93" s="5" t="s">
        <v>3</v>
      </c>
      <c r="O93" s="5">
        <v>2</v>
      </c>
      <c r="P93" s="5">
        <f>ROUND(Source!DI81,O93)</f>
        <v>0</v>
      </c>
      <c r="Q93" s="5"/>
      <c r="R93" s="5"/>
      <c r="S93" s="5"/>
      <c r="T93" s="5"/>
      <c r="U93" s="5"/>
      <c r="V93" s="5"/>
      <c r="W93" s="5">
        <v>0</v>
      </c>
      <c r="X93" s="5">
        <v>1</v>
      </c>
      <c r="Y93" s="5">
        <v>0</v>
      </c>
      <c r="Z93" s="5">
        <v>0</v>
      </c>
      <c r="AA93" s="5">
        <v>1</v>
      </c>
      <c r="AB93" s="5">
        <v>0</v>
      </c>
    </row>
    <row r="94" spans="1:28" ht="12.75">
      <c r="A94" s="5">
        <v>50</v>
      </c>
      <c r="B94" s="5">
        <v>0</v>
      </c>
      <c r="C94" s="5">
        <v>0</v>
      </c>
      <c r="D94" s="5">
        <v>1</v>
      </c>
      <c r="E94" s="5">
        <v>231</v>
      </c>
      <c r="F94" s="5">
        <f>ROUND(Source!BB81,O94)</f>
        <v>0</v>
      </c>
      <c r="G94" s="5" t="s">
        <v>98</v>
      </c>
      <c r="H94" s="5" t="s">
        <v>99</v>
      </c>
      <c r="I94" s="5"/>
      <c r="J94" s="5"/>
      <c r="K94" s="5">
        <v>231</v>
      </c>
      <c r="L94" s="5">
        <v>12</v>
      </c>
      <c r="M94" s="5">
        <v>3</v>
      </c>
      <c r="N94" s="5" t="s">
        <v>3</v>
      </c>
      <c r="O94" s="5">
        <v>2</v>
      </c>
      <c r="P94" s="5">
        <f>ROUND(Source!ET81,O94)</f>
        <v>0</v>
      </c>
      <c r="Q94" s="5"/>
      <c r="R94" s="5"/>
      <c r="S94" s="5"/>
      <c r="T94" s="5"/>
      <c r="U94" s="5"/>
      <c r="V94" s="5"/>
      <c r="W94" s="5">
        <v>0</v>
      </c>
      <c r="X94" s="5">
        <v>1</v>
      </c>
      <c r="Y94" s="5">
        <v>0</v>
      </c>
      <c r="Z94" s="5">
        <v>0</v>
      </c>
      <c r="AA94" s="5">
        <v>1</v>
      </c>
      <c r="AB94" s="5">
        <v>0</v>
      </c>
    </row>
    <row r="95" spans="1:28" ht="12.75">
      <c r="A95" s="5">
        <v>50</v>
      </c>
      <c r="B95" s="5">
        <v>0</v>
      </c>
      <c r="C95" s="5">
        <v>0</v>
      </c>
      <c r="D95" s="5">
        <v>1</v>
      </c>
      <c r="E95" s="5">
        <v>204</v>
      </c>
      <c r="F95" s="5">
        <f>ROUND(Source!R81,O95)</f>
        <v>0</v>
      </c>
      <c r="G95" s="5" t="s">
        <v>100</v>
      </c>
      <c r="H95" s="5" t="s">
        <v>101</v>
      </c>
      <c r="I95" s="5"/>
      <c r="J95" s="5"/>
      <c r="K95" s="5">
        <v>204</v>
      </c>
      <c r="L95" s="5">
        <v>13</v>
      </c>
      <c r="M95" s="5">
        <v>3</v>
      </c>
      <c r="N95" s="5" t="s">
        <v>3</v>
      </c>
      <c r="O95" s="5">
        <v>2</v>
      </c>
      <c r="P95" s="5">
        <f>ROUND(Source!DJ81,O95)</f>
        <v>0</v>
      </c>
      <c r="Q95" s="5"/>
      <c r="R95" s="5"/>
      <c r="S95" s="5"/>
      <c r="T95" s="5"/>
      <c r="U95" s="5"/>
      <c r="V95" s="5"/>
      <c r="W95" s="5">
        <v>0</v>
      </c>
      <c r="X95" s="5">
        <v>1</v>
      </c>
      <c r="Y95" s="5">
        <v>0</v>
      </c>
      <c r="Z95" s="5">
        <v>0</v>
      </c>
      <c r="AA95" s="5">
        <v>1</v>
      </c>
      <c r="AB95" s="5">
        <v>0</v>
      </c>
    </row>
    <row r="96" spans="1:28" ht="12.75">
      <c r="A96" s="5">
        <v>50</v>
      </c>
      <c r="B96" s="5">
        <v>0</v>
      </c>
      <c r="C96" s="5">
        <v>0</v>
      </c>
      <c r="D96" s="5">
        <v>1</v>
      </c>
      <c r="E96" s="5">
        <v>205</v>
      </c>
      <c r="F96" s="5">
        <f>ROUND(Source!S81,O96)</f>
        <v>0</v>
      </c>
      <c r="G96" s="5" t="s">
        <v>102</v>
      </c>
      <c r="H96" s="5" t="s">
        <v>103</v>
      </c>
      <c r="I96" s="5"/>
      <c r="J96" s="5"/>
      <c r="K96" s="5">
        <v>205</v>
      </c>
      <c r="L96" s="5">
        <v>14</v>
      </c>
      <c r="M96" s="5">
        <v>3</v>
      </c>
      <c r="N96" s="5" t="s">
        <v>3</v>
      </c>
      <c r="O96" s="5">
        <v>2</v>
      </c>
      <c r="P96" s="5">
        <f>ROUND(Source!DK81,O96)</f>
        <v>0</v>
      </c>
      <c r="Q96" s="5"/>
      <c r="R96" s="5"/>
      <c r="S96" s="5"/>
      <c r="T96" s="5"/>
      <c r="U96" s="5"/>
      <c r="V96" s="5"/>
      <c r="W96" s="5">
        <v>0</v>
      </c>
      <c r="X96" s="5">
        <v>1</v>
      </c>
      <c r="Y96" s="5">
        <v>0</v>
      </c>
      <c r="Z96" s="5">
        <v>0</v>
      </c>
      <c r="AA96" s="5">
        <v>1</v>
      </c>
      <c r="AB96" s="5">
        <v>0</v>
      </c>
    </row>
    <row r="97" spans="1:28" ht="12.75">
      <c r="A97" s="5">
        <v>50</v>
      </c>
      <c r="B97" s="5">
        <v>0</v>
      </c>
      <c r="C97" s="5">
        <v>0</v>
      </c>
      <c r="D97" s="5">
        <v>1</v>
      </c>
      <c r="E97" s="5">
        <v>232</v>
      </c>
      <c r="F97" s="5">
        <f>ROUND(Source!BC81,O97)</f>
        <v>0</v>
      </c>
      <c r="G97" s="5" t="s">
        <v>104</v>
      </c>
      <c r="H97" s="5" t="s">
        <v>105</v>
      </c>
      <c r="I97" s="5"/>
      <c r="J97" s="5"/>
      <c r="K97" s="5">
        <v>232</v>
      </c>
      <c r="L97" s="5">
        <v>15</v>
      </c>
      <c r="M97" s="5">
        <v>3</v>
      </c>
      <c r="N97" s="5" t="s">
        <v>3</v>
      </c>
      <c r="O97" s="5">
        <v>2</v>
      </c>
      <c r="P97" s="5">
        <f>ROUND(Source!EU81,O97)</f>
        <v>0</v>
      </c>
      <c r="Q97" s="5"/>
      <c r="R97" s="5"/>
      <c r="S97" s="5"/>
      <c r="T97" s="5"/>
      <c r="U97" s="5"/>
      <c r="V97" s="5"/>
      <c r="W97" s="5">
        <v>0</v>
      </c>
      <c r="X97" s="5">
        <v>1</v>
      </c>
      <c r="Y97" s="5">
        <v>0</v>
      </c>
      <c r="Z97" s="5">
        <v>0</v>
      </c>
      <c r="AA97" s="5">
        <v>1</v>
      </c>
      <c r="AB97" s="5">
        <v>0</v>
      </c>
    </row>
    <row r="98" spans="1:28" ht="12.75">
      <c r="A98" s="5">
        <v>50</v>
      </c>
      <c r="B98" s="5">
        <v>0</v>
      </c>
      <c r="C98" s="5">
        <v>0</v>
      </c>
      <c r="D98" s="5">
        <v>1</v>
      </c>
      <c r="E98" s="5">
        <v>214</v>
      </c>
      <c r="F98" s="5">
        <f>ROUND(Source!AS81,O98)</f>
        <v>241.25</v>
      </c>
      <c r="G98" s="5" t="s">
        <v>106</v>
      </c>
      <c r="H98" s="5" t="s">
        <v>107</v>
      </c>
      <c r="I98" s="5"/>
      <c r="J98" s="5"/>
      <c r="K98" s="5">
        <v>214</v>
      </c>
      <c r="L98" s="5">
        <v>16</v>
      </c>
      <c r="M98" s="5">
        <v>3</v>
      </c>
      <c r="N98" s="5" t="s">
        <v>3</v>
      </c>
      <c r="O98" s="5">
        <v>2</v>
      </c>
      <c r="P98" s="5">
        <f>ROUND(Source!EK81,O98)</f>
        <v>3194.08</v>
      </c>
      <c r="Q98" s="5"/>
      <c r="R98" s="5"/>
      <c r="S98" s="5"/>
      <c r="T98" s="5"/>
      <c r="U98" s="5"/>
      <c r="V98" s="5"/>
      <c r="W98" s="5">
        <v>241.25</v>
      </c>
      <c r="X98" s="5">
        <v>1</v>
      </c>
      <c r="Y98" s="5">
        <v>241.25</v>
      </c>
      <c r="Z98" s="5">
        <v>3194.08</v>
      </c>
      <c r="AA98" s="5">
        <v>1</v>
      </c>
      <c r="AB98" s="5">
        <v>3194.08</v>
      </c>
    </row>
    <row r="99" spans="1:28" ht="12.75">
      <c r="A99" s="5">
        <v>50</v>
      </c>
      <c r="B99" s="5">
        <v>0</v>
      </c>
      <c r="C99" s="5">
        <v>0</v>
      </c>
      <c r="D99" s="5">
        <v>1</v>
      </c>
      <c r="E99" s="5">
        <v>215</v>
      </c>
      <c r="F99" s="5">
        <f>ROUND(Source!AT81,O99)</f>
        <v>0</v>
      </c>
      <c r="G99" s="5" t="s">
        <v>108</v>
      </c>
      <c r="H99" s="5" t="s">
        <v>109</v>
      </c>
      <c r="I99" s="5"/>
      <c r="J99" s="5"/>
      <c r="K99" s="5">
        <v>215</v>
      </c>
      <c r="L99" s="5">
        <v>17</v>
      </c>
      <c r="M99" s="5">
        <v>3</v>
      </c>
      <c r="N99" s="5" t="s">
        <v>3</v>
      </c>
      <c r="O99" s="5">
        <v>2</v>
      </c>
      <c r="P99" s="5">
        <f>ROUND(Source!EL81,O99)</f>
        <v>0</v>
      </c>
      <c r="Q99" s="5"/>
      <c r="R99" s="5"/>
      <c r="S99" s="5"/>
      <c r="T99" s="5"/>
      <c r="U99" s="5"/>
      <c r="V99" s="5"/>
      <c r="W99" s="5">
        <v>0</v>
      </c>
      <c r="X99" s="5">
        <v>1</v>
      </c>
      <c r="Y99" s="5">
        <v>0</v>
      </c>
      <c r="Z99" s="5">
        <v>0</v>
      </c>
      <c r="AA99" s="5">
        <v>1</v>
      </c>
      <c r="AB99" s="5">
        <v>0</v>
      </c>
    </row>
    <row r="100" spans="1:28" ht="12.75">
      <c r="A100" s="5">
        <v>50</v>
      </c>
      <c r="B100" s="5">
        <v>0</v>
      </c>
      <c r="C100" s="5">
        <v>0</v>
      </c>
      <c r="D100" s="5">
        <v>1</v>
      </c>
      <c r="E100" s="5">
        <v>217</v>
      </c>
      <c r="F100" s="5">
        <f>ROUND(Source!AU81,O100)</f>
        <v>0</v>
      </c>
      <c r="G100" s="5" t="s">
        <v>110</v>
      </c>
      <c r="H100" s="5" t="s">
        <v>111</v>
      </c>
      <c r="I100" s="5"/>
      <c r="J100" s="5"/>
      <c r="K100" s="5">
        <v>217</v>
      </c>
      <c r="L100" s="5">
        <v>18</v>
      </c>
      <c r="M100" s="5">
        <v>3</v>
      </c>
      <c r="N100" s="5" t="s">
        <v>3</v>
      </c>
      <c r="O100" s="5">
        <v>2</v>
      </c>
      <c r="P100" s="5">
        <f>ROUND(Source!EM81,O100)</f>
        <v>0</v>
      </c>
      <c r="Q100" s="5"/>
      <c r="R100" s="5"/>
      <c r="S100" s="5"/>
      <c r="T100" s="5"/>
      <c r="U100" s="5"/>
      <c r="V100" s="5"/>
      <c r="W100" s="5">
        <v>0</v>
      </c>
      <c r="X100" s="5">
        <v>1</v>
      </c>
      <c r="Y100" s="5">
        <v>0</v>
      </c>
      <c r="Z100" s="5">
        <v>0</v>
      </c>
      <c r="AA100" s="5">
        <v>1</v>
      </c>
      <c r="AB100" s="5">
        <v>0</v>
      </c>
    </row>
    <row r="101" spans="1:28" ht="12.75">
      <c r="A101" s="5">
        <v>50</v>
      </c>
      <c r="B101" s="5">
        <v>0</v>
      </c>
      <c r="C101" s="5">
        <v>0</v>
      </c>
      <c r="D101" s="5">
        <v>1</v>
      </c>
      <c r="E101" s="5">
        <v>230</v>
      </c>
      <c r="F101" s="5">
        <f>ROUND(Source!BA81,O101)</f>
        <v>0</v>
      </c>
      <c r="G101" s="5" t="s">
        <v>112</v>
      </c>
      <c r="H101" s="5" t="s">
        <v>113</v>
      </c>
      <c r="I101" s="5"/>
      <c r="J101" s="5"/>
      <c r="K101" s="5">
        <v>230</v>
      </c>
      <c r="L101" s="5">
        <v>19</v>
      </c>
      <c r="M101" s="5">
        <v>3</v>
      </c>
      <c r="N101" s="5" t="s">
        <v>3</v>
      </c>
      <c r="O101" s="5">
        <v>2</v>
      </c>
      <c r="P101" s="5">
        <f>ROUND(Source!ES81,O101)</f>
        <v>0</v>
      </c>
      <c r="Q101" s="5"/>
      <c r="R101" s="5"/>
      <c r="S101" s="5"/>
      <c r="T101" s="5"/>
      <c r="U101" s="5"/>
      <c r="V101" s="5"/>
      <c r="W101" s="5">
        <v>0</v>
      </c>
      <c r="X101" s="5">
        <v>1</v>
      </c>
      <c r="Y101" s="5">
        <v>0</v>
      </c>
      <c r="Z101" s="5">
        <v>0</v>
      </c>
      <c r="AA101" s="5">
        <v>1</v>
      </c>
      <c r="AB101" s="5">
        <v>0</v>
      </c>
    </row>
    <row r="102" spans="1:28" ht="12.75">
      <c r="A102" s="5">
        <v>50</v>
      </c>
      <c r="B102" s="5">
        <v>0</v>
      </c>
      <c r="C102" s="5">
        <v>0</v>
      </c>
      <c r="D102" s="5">
        <v>1</v>
      </c>
      <c r="E102" s="5">
        <v>206</v>
      </c>
      <c r="F102" s="5">
        <f>ROUND(Source!T81,O102)</f>
        <v>0</v>
      </c>
      <c r="G102" s="5" t="s">
        <v>114</v>
      </c>
      <c r="H102" s="5" t="s">
        <v>115</v>
      </c>
      <c r="I102" s="5"/>
      <c r="J102" s="5"/>
      <c r="K102" s="5">
        <v>206</v>
      </c>
      <c r="L102" s="5">
        <v>20</v>
      </c>
      <c r="M102" s="5">
        <v>3</v>
      </c>
      <c r="N102" s="5" t="s">
        <v>3</v>
      </c>
      <c r="O102" s="5">
        <v>2</v>
      </c>
      <c r="P102" s="5">
        <f>ROUND(Source!DL81,O102)</f>
        <v>0</v>
      </c>
      <c r="Q102" s="5"/>
      <c r="R102" s="5"/>
      <c r="S102" s="5"/>
      <c r="T102" s="5"/>
      <c r="U102" s="5"/>
      <c r="V102" s="5"/>
      <c r="W102" s="5">
        <v>0</v>
      </c>
      <c r="X102" s="5">
        <v>1</v>
      </c>
      <c r="Y102" s="5">
        <v>0</v>
      </c>
      <c r="Z102" s="5">
        <v>0</v>
      </c>
      <c r="AA102" s="5">
        <v>1</v>
      </c>
      <c r="AB102" s="5">
        <v>0</v>
      </c>
    </row>
    <row r="103" spans="1:28" ht="12.75">
      <c r="A103" s="5">
        <v>50</v>
      </c>
      <c r="B103" s="5">
        <v>0</v>
      </c>
      <c r="C103" s="5">
        <v>0</v>
      </c>
      <c r="D103" s="5">
        <v>1</v>
      </c>
      <c r="E103" s="5">
        <v>207</v>
      </c>
      <c r="F103" s="5">
        <f>Source!U81</f>
        <v>0</v>
      </c>
      <c r="G103" s="5" t="s">
        <v>116</v>
      </c>
      <c r="H103" s="5" t="s">
        <v>117</v>
      </c>
      <c r="I103" s="5"/>
      <c r="J103" s="5"/>
      <c r="K103" s="5">
        <v>207</v>
      </c>
      <c r="L103" s="5">
        <v>21</v>
      </c>
      <c r="M103" s="5">
        <v>3</v>
      </c>
      <c r="N103" s="5" t="s">
        <v>3</v>
      </c>
      <c r="O103" s="5">
        <v>-1</v>
      </c>
      <c r="P103" s="5">
        <f>Source!DM81</f>
        <v>0</v>
      </c>
      <c r="Q103" s="5"/>
      <c r="R103" s="5"/>
      <c r="S103" s="5"/>
      <c r="T103" s="5"/>
      <c r="U103" s="5"/>
      <c r="V103" s="5"/>
      <c r="W103" s="5">
        <v>0</v>
      </c>
      <c r="X103" s="5">
        <v>1</v>
      </c>
      <c r="Y103" s="5">
        <v>0</v>
      </c>
      <c r="Z103" s="5">
        <v>0</v>
      </c>
      <c r="AA103" s="5">
        <v>1</v>
      </c>
      <c r="AB103" s="5">
        <v>0</v>
      </c>
    </row>
    <row r="104" spans="1:28" ht="12.75">
      <c r="A104" s="5">
        <v>50</v>
      </c>
      <c r="B104" s="5">
        <v>0</v>
      </c>
      <c r="C104" s="5">
        <v>0</v>
      </c>
      <c r="D104" s="5">
        <v>1</v>
      </c>
      <c r="E104" s="5">
        <v>208</v>
      </c>
      <c r="F104" s="5">
        <f>Source!V81</f>
        <v>0</v>
      </c>
      <c r="G104" s="5" t="s">
        <v>118</v>
      </c>
      <c r="H104" s="5" t="s">
        <v>119</v>
      </c>
      <c r="I104" s="5"/>
      <c r="J104" s="5"/>
      <c r="K104" s="5">
        <v>208</v>
      </c>
      <c r="L104" s="5">
        <v>22</v>
      </c>
      <c r="M104" s="5">
        <v>3</v>
      </c>
      <c r="N104" s="5" t="s">
        <v>3</v>
      </c>
      <c r="O104" s="5">
        <v>-1</v>
      </c>
      <c r="P104" s="5">
        <f>Source!DN81</f>
        <v>0</v>
      </c>
      <c r="Q104" s="5"/>
      <c r="R104" s="5"/>
      <c r="S104" s="5"/>
      <c r="T104" s="5"/>
      <c r="U104" s="5"/>
      <c r="V104" s="5"/>
      <c r="W104" s="5">
        <v>0</v>
      </c>
      <c r="X104" s="5">
        <v>1</v>
      </c>
      <c r="Y104" s="5">
        <v>0</v>
      </c>
      <c r="Z104" s="5">
        <v>0</v>
      </c>
      <c r="AA104" s="5">
        <v>1</v>
      </c>
      <c r="AB104" s="5">
        <v>0</v>
      </c>
    </row>
    <row r="105" spans="1:28" ht="12.75">
      <c r="A105" s="5">
        <v>50</v>
      </c>
      <c r="B105" s="5">
        <v>0</v>
      </c>
      <c r="C105" s="5">
        <v>0</v>
      </c>
      <c r="D105" s="5">
        <v>1</v>
      </c>
      <c r="E105" s="5">
        <v>209</v>
      </c>
      <c r="F105" s="5">
        <f>ROUND(Source!W81,O105)</f>
        <v>0</v>
      </c>
      <c r="G105" s="5" t="s">
        <v>120</v>
      </c>
      <c r="H105" s="5" t="s">
        <v>121</v>
      </c>
      <c r="I105" s="5"/>
      <c r="J105" s="5"/>
      <c r="K105" s="5">
        <v>209</v>
      </c>
      <c r="L105" s="5">
        <v>23</v>
      </c>
      <c r="M105" s="5">
        <v>3</v>
      </c>
      <c r="N105" s="5" t="s">
        <v>3</v>
      </c>
      <c r="O105" s="5">
        <v>2</v>
      </c>
      <c r="P105" s="5">
        <f>ROUND(Source!DO81,O105)</f>
        <v>0</v>
      </c>
      <c r="Q105" s="5"/>
      <c r="R105" s="5"/>
      <c r="S105" s="5"/>
      <c r="T105" s="5"/>
      <c r="U105" s="5"/>
      <c r="V105" s="5"/>
      <c r="W105" s="5">
        <v>0</v>
      </c>
      <c r="X105" s="5">
        <v>1</v>
      </c>
      <c r="Y105" s="5">
        <v>0</v>
      </c>
      <c r="Z105" s="5">
        <v>0</v>
      </c>
      <c r="AA105" s="5">
        <v>1</v>
      </c>
      <c r="AB105" s="5">
        <v>0</v>
      </c>
    </row>
    <row r="106" spans="1:28" ht="12.75">
      <c r="A106" s="5">
        <v>50</v>
      </c>
      <c r="B106" s="5">
        <v>0</v>
      </c>
      <c r="C106" s="5">
        <v>0</v>
      </c>
      <c r="D106" s="5">
        <v>1</v>
      </c>
      <c r="E106" s="5">
        <v>233</v>
      </c>
      <c r="F106" s="5">
        <f>ROUND(Source!BD81,O106)</f>
        <v>241.25</v>
      </c>
      <c r="G106" s="5" t="s">
        <v>122</v>
      </c>
      <c r="H106" s="5" t="s">
        <v>123</v>
      </c>
      <c r="I106" s="5"/>
      <c r="J106" s="5"/>
      <c r="K106" s="5">
        <v>233</v>
      </c>
      <c r="L106" s="5">
        <v>24</v>
      </c>
      <c r="M106" s="5">
        <v>3</v>
      </c>
      <c r="N106" s="5" t="s">
        <v>3</v>
      </c>
      <c r="O106" s="5">
        <v>2</v>
      </c>
      <c r="P106" s="5">
        <f>ROUND(Source!EV81,O106)</f>
        <v>3194.08</v>
      </c>
      <c r="Q106" s="5"/>
      <c r="R106" s="5"/>
      <c r="S106" s="5"/>
      <c r="T106" s="5"/>
      <c r="U106" s="5"/>
      <c r="V106" s="5"/>
      <c r="W106" s="5">
        <v>241.25</v>
      </c>
      <c r="X106" s="5">
        <v>1</v>
      </c>
      <c r="Y106" s="5">
        <v>241.25</v>
      </c>
      <c r="Z106" s="5">
        <v>3194.08</v>
      </c>
      <c r="AA106" s="5">
        <v>1</v>
      </c>
      <c r="AB106" s="5">
        <v>3194.08</v>
      </c>
    </row>
    <row r="107" spans="1:28" ht="12.75">
      <c r="A107" s="5">
        <v>50</v>
      </c>
      <c r="B107" s="5">
        <v>0</v>
      </c>
      <c r="C107" s="5">
        <v>0</v>
      </c>
      <c r="D107" s="5">
        <v>1</v>
      </c>
      <c r="E107" s="5">
        <v>210</v>
      </c>
      <c r="F107" s="5">
        <f>ROUND(Source!X81,O107)</f>
        <v>0</v>
      </c>
      <c r="G107" s="5" t="s">
        <v>124</v>
      </c>
      <c r="H107" s="5" t="s">
        <v>125</v>
      </c>
      <c r="I107" s="5"/>
      <c r="J107" s="5"/>
      <c r="K107" s="5">
        <v>210</v>
      </c>
      <c r="L107" s="5">
        <v>25</v>
      </c>
      <c r="M107" s="5">
        <v>3</v>
      </c>
      <c r="N107" s="5" t="s">
        <v>3</v>
      </c>
      <c r="O107" s="5">
        <v>2</v>
      </c>
      <c r="P107" s="5">
        <f>ROUND(Source!DP81,O107)</f>
        <v>0</v>
      </c>
      <c r="Q107" s="5"/>
      <c r="R107" s="5"/>
      <c r="S107" s="5"/>
      <c r="T107" s="5"/>
      <c r="U107" s="5"/>
      <c r="V107" s="5"/>
      <c r="W107" s="5">
        <v>0</v>
      </c>
      <c r="X107" s="5">
        <v>1</v>
      </c>
      <c r="Y107" s="5">
        <v>0</v>
      </c>
      <c r="Z107" s="5">
        <v>0</v>
      </c>
      <c r="AA107" s="5">
        <v>1</v>
      </c>
      <c r="AB107" s="5">
        <v>0</v>
      </c>
    </row>
    <row r="108" spans="1:28" ht="12.75">
      <c r="A108" s="5">
        <v>50</v>
      </c>
      <c r="B108" s="5">
        <v>0</v>
      </c>
      <c r="C108" s="5">
        <v>0</v>
      </c>
      <c r="D108" s="5">
        <v>1</v>
      </c>
      <c r="E108" s="5">
        <v>211</v>
      </c>
      <c r="F108" s="5">
        <f>ROUND(Source!Y81,O108)</f>
        <v>0</v>
      </c>
      <c r="G108" s="5" t="s">
        <v>126</v>
      </c>
      <c r="H108" s="5" t="s">
        <v>127</v>
      </c>
      <c r="I108" s="5"/>
      <c r="J108" s="5"/>
      <c r="K108" s="5">
        <v>211</v>
      </c>
      <c r="L108" s="5">
        <v>26</v>
      </c>
      <c r="M108" s="5">
        <v>3</v>
      </c>
      <c r="N108" s="5" t="s">
        <v>3</v>
      </c>
      <c r="O108" s="5">
        <v>2</v>
      </c>
      <c r="P108" s="5">
        <f>ROUND(Source!DQ81,O108)</f>
        <v>0</v>
      </c>
      <c r="Q108" s="5"/>
      <c r="R108" s="5"/>
      <c r="S108" s="5"/>
      <c r="T108" s="5"/>
      <c r="U108" s="5"/>
      <c r="V108" s="5"/>
      <c r="W108" s="5">
        <v>0</v>
      </c>
      <c r="X108" s="5">
        <v>1</v>
      </c>
      <c r="Y108" s="5">
        <v>0</v>
      </c>
      <c r="Z108" s="5">
        <v>0</v>
      </c>
      <c r="AA108" s="5">
        <v>1</v>
      </c>
      <c r="AB108" s="5">
        <v>0</v>
      </c>
    </row>
    <row r="109" spans="1:28" ht="12.75">
      <c r="A109" s="5">
        <v>50</v>
      </c>
      <c r="B109" s="5">
        <v>0</v>
      </c>
      <c r="C109" s="5">
        <v>0</v>
      </c>
      <c r="D109" s="5">
        <v>1</v>
      </c>
      <c r="E109" s="5">
        <v>224</v>
      </c>
      <c r="F109" s="5">
        <f>ROUND(Source!AR81,O109)</f>
        <v>241.25</v>
      </c>
      <c r="G109" s="5" t="s">
        <v>128</v>
      </c>
      <c r="H109" s="5" t="s">
        <v>129</v>
      </c>
      <c r="I109" s="5"/>
      <c r="J109" s="5"/>
      <c r="K109" s="5">
        <v>224</v>
      </c>
      <c r="L109" s="5">
        <v>27</v>
      </c>
      <c r="M109" s="5">
        <v>3</v>
      </c>
      <c r="N109" s="5" t="s">
        <v>3</v>
      </c>
      <c r="O109" s="5">
        <v>2</v>
      </c>
      <c r="P109" s="5">
        <f>ROUND(Source!EJ81,O109)</f>
        <v>3194.08</v>
      </c>
      <c r="Q109" s="5"/>
      <c r="R109" s="5"/>
      <c r="S109" s="5"/>
      <c r="T109" s="5"/>
      <c r="U109" s="5"/>
      <c r="V109" s="5"/>
      <c r="W109" s="5">
        <v>241.25</v>
      </c>
      <c r="X109" s="5">
        <v>1</v>
      </c>
      <c r="Y109" s="5">
        <v>241.25</v>
      </c>
      <c r="Z109" s="5">
        <v>3194.08</v>
      </c>
      <c r="AA109" s="5">
        <v>1</v>
      </c>
      <c r="AB109" s="5">
        <v>3194.08</v>
      </c>
    </row>
    <row r="110" spans="1:28" ht="12.75">
      <c r="A110" s="5">
        <v>50</v>
      </c>
      <c r="B110" s="5">
        <v>1</v>
      </c>
      <c r="C110" s="5">
        <v>0</v>
      </c>
      <c r="D110" s="5">
        <v>2</v>
      </c>
      <c r="E110" s="5">
        <v>0</v>
      </c>
      <c r="F110" s="5">
        <f>ROUND(F109,O110)</f>
        <v>241.25</v>
      </c>
      <c r="G110" s="5" t="s">
        <v>130</v>
      </c>
      <c r="H110" s="5" t="s">
        <v>131</v>
      </c>
      <c r="I110" s="5"/>
      <c r="J110" s="5"/>
      <c r="K110" s="5">
        <v>212</v>
      </c>
      <c r="L110" s="5">
        <v>28</v>
      </c>
      <c r="M110" s="5">
        <v>0</v>
      </c>
      <c r="N110" s="5" t="s">
        <v>3</v>
      </c>
      <c r="O110" s="5">
        <v>2</v>
      </c>
      <c r="P110" s="5">
        <f>ROUND(P109,O110)</f>
        <v>3194.08</v>
      </c>
      <c r="Q110" s="5"/>
      <c r="R110" s="5"/>
      <c r="S110" s="5"/>
      <c r="T110" s="5"/>
      <c r="U110" s="5"/>
      <c r="V110" s="5"/>
      <c r="W110" s="5">
        <v>241.25</v>
      </c>
      <c r="X110" s="5">
        <v>1</v>
      </c>
      <c r="Y110" s="5">
        <v>241.25</v>
      </c>
      <c r="Z110" s="5">
        <v>3194.08</v>
      </c>
      <c r="AA110" s="5">
        <v>1</v>
      </c>
      <c r="AB110" s="5">
        <v>3194.08</v>
      </c>
    </row>
    <row r="112" spans="1:206" ht="12.75">
      <c r="A112" s="3">
        <v>51</v>
      </c>
      <c r="B112" s="3">
        <f>B20</f>
        <v>1</v>
      </c>
      <c r="C112" s="3">
        <f>A20</f>
        <v>3</v>
      </c>
      <c r="D112" s="3">
        <f>ROW(A20)</f>
        <v>20</v>
      </c>
      <c r="E112" s="3"/>
      <c r="F112" s="3">
        <f>IF(F20&lt;&gt;"",F20,"")</f>
      </c>
      <c r="G112" s="3">
        <f>IF(G20&lt;&gt;"",G20,"")</f>
      </c>
      <c r="H112" s="3">
        <v>0</v>
      </c>
      <c r="I112" s="3"/>
      <c r="J112" s="3"/>
      <c r="K112" s="3"/>
      <c r="L112" s="3"/>
      <c r="M112" s="3"/>
      <c r="N112" s="3"/>
      <c r="O112" s="3">
        <f aca="true" t="shared" si="74" ref="O112:T112">ROUND(O41+O81+AB112,2)</f>
        <v>43339.48</v>
      </c>
      <c r="P112" s="3">
        <f t="shared" si="74"/>
        <v>39054.03</v>
      </c>
      <c r="Q112" s="3">
        <f t="shared" si="74"/>
        <v>150.61</v>
      </c>
      <c r="R112" s="3">
        <f t="shared" si="74"/>
        <v>32.18</v>
      </c>
      <c r="S112" s="3">
        <f t="shared" si="74"/>
        <v>4134.84</v>
      </c>
      <c r="T112" s="3">
        <f t="shared" si="74"/>
        <v>0</v>
      </c>
      <c r="U112" s="3">
        <f>U41+U81+AH112</f>
        <v>452.9579708</v>
      </c>
      <c r="V112" s="3">
        <f>V41+V81+AI112</f>
        <v>2.65639</v>
      </c>
      <c r="W112" s="3">
        <f>ROUND(W41+W81+AJ112,2)</f>
        <v>0</v>
      </c>
      <c r="X112" s="3">
        <f>ROUND(X41+X81+AK112,2)</f>
        <v>3847.36</v>
      </c>
      <c r="Y112" s="3">
        <f>ROUND(Y41+Y81+AL112,2)</f>
        <v>2028.13</v>
      </c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>
        <f aca="true" t="shared" si="75" ref="AO112:BD112">ROUND(AO41+AO81+BX112,2)</f>
        <v>0</v>
      </c>
      <c r="AP112" s="3">
        <f t="shared" si="75"/>
        <v>0</v>
      </c>
      <c r="AQ112" s="3">
        <f t="shared" si="75"/>
        <v>0</v>
      </c>
      <c r="AR112" s="3">
        <f t="shared" si="75"/>
        <v>49456.22</v>
      </c>
      <c r="AS112" s="3">
        <f t="shared" si="75"/>
        <v>49456.22</v>
      </c>
      <c r="AT112" s="3">
        <f t="shared" si="75"/>
        <v>0</v>
      </c>
      <c r="AU112" s="3">
        <f t="shared" si="75"/>
        <v>0</v>
      </c>
      <c r="AV112" s="3">
        <f t="shared" si="75"/>
        <v>39054.03</v>
      </c>
      <c r="AW112" s="3">
        <f t="shared" si="75"/>
        <v>39054.03</v>
      </c>
      <c r="AX112" s="3">
        <f t="shared" si="75"/>
        <v>0</v>
      </c>
      <c r="AY112" s="3">
        <f t="shared" si="75"/>
        <v>39054.03</v>
      </c>
      <c r="AZ112" s="3">
        <f t="shared" si="75"/>
        <v>0</v>
      </c>
      <c r="BA112" s="3">
        <f t="shared" si="75"/>
        <v>0</v>
      </c>
      <c r="BB112" s="3">
        <f t="shared" si="75"/>
        <v>0</v>
      </c>
      <c r="BC112" s="3">
        <f t="shared" si="75"/>
        <v>0</v>
      </c>
      <c r="BD112" s="3">
        <f t="shared" si="75"/>
        <v>241.25</v>
      </c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4">
        <f aca="true" t="shared" si="76" ref="DG112:DL112">ROUND(DG41+DG81+DT112,2)</f>
        <v>418832.76</v>
      </c>
      <c r="DH112" s="4">
        <f t="shared" si="76"/>
        <v>262443.05</v>
      </c>
      <c r="DI112" s="4">
        <f t="shared" si="76"/>
        <v>1994.53</v>
      </c>
      <c r="DJ112" s="4">
        <f t="shared" si="76"/>
        <v>1201.8</v>
      </c>
      <c r="DK112" s="4">
        <f t="shared" si="76"/>
        <v>154395.18</v>
      </c>
      <c r="DL112" s="4">
        <f t="shared" si="76"/>
        <v>0</v>
      </c>
      <c r="DM112" s="4">
        <f>DM41+DM81+DZ112</f>
        <v>452.9579708</v>
      </c>
      <c r="DN112" s="4">
        <f>DN41+DN81+EA112</f>
        <v>2.65639</v>
      </c>
      <c r="DO112" s="4">
        <f>ROUND(DO41+DO81+EB112,2)</f>
        <v>0</v>
      </c>
      <c r="DP112" s="4">
        <f>ROUND(DP41+DP81+EC112,2)</f>
        <v>143660.9</v>
      </c>
      <c r="DQ112" s="4">
        <f>ROUND(DQ41+DQ81+ED112,2)</f>
        <v>75730.53</v>
      </c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>
        <f aca="true" t="shared" si="77" ref="EG112:EV112">ROUND(EG41+EG81+FP112,2)</f>
        <v>0</v>
      </c>
      <c r="EH112" s="4">
        <f t="shared" si="77"/>
        <v>0</v>
      </c>
      <c r="EI112" s="4">
        <f t="shared" si="77"/>
        <v>0</v>
      </c>
      <c r="EJ112" s="4">
        <f t="shared" si="77"/>
        <v>641418.27</v>
      </c>
      <c r="EK112" s="4">
        <f t="shared" si="77"/>
        <v>641418.27</v>
      </c>
      <c r="EL112" s="4">
        <f t="shared" si="77"/>
        <v>0</v>
      </c>
      <c r="EM112" s="4">
        <f t="shared" si="77"/>
        <v>0</v>
      </c>
      <c r="EN112" s="4">
        <f t="shared" si="77"/>
        <v>262443.05</v>
      </c>
      <c r="EO112" s="4">
        <f t="shared" si="77"/>
        <v>262443.05</v>
      </c>
      <c r="EP112" s="4">
        <f t="shared" si="77"/>
        <v>0</v>
      </c>
      <c r="EQ112" s="4">
        <f t="shared" si="77"/>
        <v>262443.05</v>
      </c>
      <c r="ER112" s="4">
        <f t="shared" si="77"/>
        <v>0</v>
      </c>
      <c r="ES112" s="4">
        <f t="shared" si="77"/>
        <v>0</v>
      </c>
      <c r="ET112" s="4">
        <f t="shared" si="77"/>
        <v>0</v>
      </c>
      <c r="EU112" s="4">
        <f t="shared" si="77"/>
        <v>0</v>
      </c>
      <c r="EV112" s="4">
        <f t="shared" si="77"/>
        <v>3194.08</v>
      </c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>
        <v>0</v>
      </c>
    </row>
    <row r="114" spans="1:28" ht="12.75">
      <c r="A114" s="5">
        <v>50</v>
      </c>
      <c r="B114" s="5">
        <v>0</v>
      </c>
      <c r="C114" s="5">
        <v>0</v>
      </c>
      <c r="D114" s="5">
        <v>1</v>
      </c>
      <c r="E114" s="5">
        <v>201</v>
      </c>
      <c r="F114" s="5">
        <f>ROUND(Source!O112,O114)</f>
        <v>43339.48</v>
      </c>
      <c r="G114" s="5" t="s">
        <v>76</v>
      </c>
      <c r="H114" s="5" t="s">
        <v>77</v>
      </c>
      <c r="I114" s="5"/>
      <c r="J114" s="5"/>
      <c r="K114" s="5">
        <v>201</v>
      </c>
      <c r="L114" s="5">
        <v>1</v>
      </c>
      <c r="M114" s="5">
        <v>3</v>
      </c>
      <c r="N114" s="5" t="s">
        <v>3</v>
      </c>
      <c r="O114" s="5">
        <v>2</v>
      </c>
      <c r="P114" s="5">
        <f>ROUND(Source!DG112,O114)</f>
        <v>418832.76</v>
      </c>
      <c r="Q114" s="5"/>
      <c r="R114" s="5"/>
      <c r="S114" s="5"/>
      <c r="T114" s="5"/>
      <c r="U114" s="5"/>
      <c r="V114" s="5"/>
      <c r="W114" s="5">
        <v>43580.729999999996</v>
      </c>
      <c r="X114" s="5">
        <v>1</v>
      </c>
      <c r="Y114" s="5">
        <v>43580.729999999996</v>
      </c>
      <c r="Z114" s="5">
        <v>422026.84</v>
      </c>
      <c r="AA114" s="5">
        <v>1</v>
      </c>
      <c r="AB114" s="5">
        <v>422026.84</v>
      </c>
    </row>
    <row r="115" spans="1:28" ht="12.75">
      <c r="A115" s="5">
        <v>50</v>
      </c>
      <c r="B115" s="5">
        <v>0</v>
      </c>
      <c r="C115" s="5">
        <v>0</v>
      </c>
      <c r="D115" s="5">
        <v>1</v>
      </c>
      <c r="E115" s="5">
        <v>202</v>
      </c>
      <c r="F115" s="5">
        <f>ROUND(Source!P112,O115)</f>
        <v>39054.03</v>
      </c>
      <c r="G115" s="5" t="s">
        <v>78</v>
      </c>
      <c r="H115" s="5" t="s">
        <v>79</v>
      </c>
      <c r="I115" s="5"/>
      <c r="J115" s="5"/>
      <c r="K115" s="5">
        <v>202</v>
      </c>
      <c r="L115" s="5">
        <v>2</v>
      </c>
      <c r="M115" s="5">
        <v>3</v>
      </c>
      <c r="N115" s="5" t="s">
        <v>3</v>
      </c>
      <c r="O115" s="5">
        <v>2</v>
      </c>
      <c r="P115" s="5">
        <f>ROUND(Source!DH112,O115)</f>
        <v>262443.05</v>
      </c>
      <c r="Q115" s="5"/>
      <c r="R115" s="5"/>
      <c r="S115" s="5"/>
      <c r="T115" s="5"/>
      <c r="U115" s="5"/>
      <c r="V115" s="5"/>
      <c r="W115" s="5">
        <v>39054.03</v>
      </c>
      <c r="X115" s="5">
        <v>1</v>
      </c>
      <c r="Y115" s="5">
        <v>39054.03</v>
      </c>
      <c r="Z115" s="5">
        <v>262443.05</v>
      </c>
      <c r="AA115" s="5">
        <v>1</v>
      </c>
      <c r="AB115" s="5">
        <v>262443.05</v>
      </c>
    </row>
    <row r="116" spans="1:28" ht="12.75">
      <c r="A116" s="5">
        <v>50</v>
      </c>
      <c r="B116" s="5">
        <v>0</v>
      </c>
      <c r="C116" s="5">
        <v>0</v>
      </c>
      <c r="D116" s="5">
        <v>1</v>
      </c>
      <c r="E116" s="5">
        <v>222</v>
      </c>
      <c r="F116" s="5">
        <f>ROUND(Source!AO112,O116)</f>
        <v>0</v>
      </c>
      <c r="G116" s="5" t="s">
        <v>80</v>
      </c>
      <c r="H116" s="5" t="s">
        <v>81</v>
      </c>
      <c r="I116" s="5"/>
      <c r="J116" s="5"/>
      <c r="K116" s="5">
        <v>222</v>
      </c>
      <c r="L116" s="5">
        <v>3</v>
      </c>
      <c r="M116" s="5">
        <v>3</v>
      </c>
      <c r="N116" s="5" t="s">
        <v>3</v>
      </c>
      <c r="O116" s="5">
        <v>2</v>
      </c>
      <c r="P116" s="5">
        <f>ROUND(Source!EG112,O116)</f>
        <v>0</v>
      </c>
      <c r="Q116" s="5"/>
      <c r="R116" s="5"/>
      <c r="S116" s="5"/>
      <c r="T116" s="5"/>
      <c r="U116" s="5"/>
      <c r="V116" s="5"/>
      <c r="W116" s="5">
        <v>0</v>
      </c>
      <c r="X116" s="5">
        <v>1</v>
      </c>
      <c r="Y116" s="5">
        <v>0</v>
      </c>
      <c r="Z116" s="5">
        <v>0</v>
      </c>
      <c r="AA116" s="5">
        <v>1</v>
      </c>
      <c r="AB116" s="5">
        <v>0</v>
      </c>
    </row>
    <row r="117" spans="1:28" ht="12.75">
      <c r="A117" s="5">
        <v>50</v>
      </c>
      <c r="B117" s="5">
        <v>0</v>
      </c>
      <c r="C117" s="5">
        <v>0</v>
      </c>
      <c r="D117" s="5">
        <v>1</v>
      </c>
      <c r="E117" s="5">
        <v>225</v>
      </c>
      <c r="F117" s="5">
        <f>ROUND(Source!AV112,O117)</f>
        <v>39054.03</v>
      </c>
      <c r="G117" s="5" t="s">
        <v>82</v>
      </c>
      <c r="H117" s="5" t="s">
        <v>83</v>
      </c>
      <c r="I117" s="5"/>
      <c r="J117" s="5"/>
      <c r="K117" s="5">
        <v>225</v>
      </c>
      <c r="L117" s="5">
        <v>4</v>
      </c>
      <c r="M117" s="5">
        <v>3</v>
      </c>
      <c r="N117" s="5" t="s">
        <v>3</v>
      </c>
      <c r="O117" s="5">
        <v>2</v>
      </c>
      <c r="P117" s="5">
        <f>ROUND(Source!EN112,O117)</f>
        <v>262443.05</v>
      </c>
      <c r="Q117" s="5"/>
      <c r="R117" s="5"/>
      <c r="S117" s="5"/>
      <c r="T117" s="5"/>
      <c r="U117" s="5"/>
      <c r="V117" s="5"/>
      <c r="W117" s="5">
        <v>39054.03</v>
      </c>
      <c r="X117" s="5">
        <v>1</v>
      </c>
      <c r="Y117" s="5">
        <v>39054.03</v>
      </c>
      <c r="Z117" s="5">
        <v>262443.05</v>
      </c>
      <c r="AA117" s="5">
        <v>1</v>
      </c>
      <c r="AB117" s="5">
        <v>262443.05</v>
      </c>
    </row>
    <row r="118" spans="1:28" ht="12.75">
      <c r="A118" s="5">
        <v>50</v>
      </c>
      <c r="B118" s="5">
        <v>0</v>
      </c>
      <c r="C118" s="5">
        <v>0</v>
      </c>
      <c r="D118" s="5">
        <v>1</v>
      </c>
      <c r="E118" s="5">
        <v>226</v>
      </c>
      <c r="F118" s="5">
        <f>ROUND(Source!AW112,O118)</f>
        <v>39054.03</v>
      </c>
      <c r="G118" s="5" t="s">
        <v>84</v>
      </c>
      <c r="H118" s="5" t="s">
        <v>85</v>
      </c>
      <c r="I118" s="5"/>
      <c r="J118" s="5"/>
      <c r="K118" s="5">
        <v>226</v>
      </c>
      <c r="L118" s="5">
        <v>5</v>
      </c>
      <c r="M118" s="5">
        <v>3</v>
      </c>
      <c r="N118" s="5" t="s">
        <v>3</v>
      </c>
      <c r="O118" s="5">
        <v>2</v>
      </c>
      <c r="P118" s="5">
        <f>ROUND(Source!EO112,O118)</f>
        <v>262443.05</v>
      </c>
      <c r="Q118" s="5"/>
      <c r="R118" s="5"/>
      <c r="S118" s="5"/>
      <c r="T118" s="5"/>
      <c r="U118" s="5"/>
      <c r="V118" s="5"/>
      <c r="W118" s="5">
        <v>39054.03</v>
      </c>
      <c r="X118" s="5">
        <v>1</v>
      </c>
      <c r="Y118" s="5">
        <v>39054.03</v>
      </c>
      <c r="Z118" s="5">
        <v>262443.05</v>
      </c>
      <c r="AA118" s="5">
        <v>1</v>
      </c>
      <c r="AB118" s="5">
        <v>262443.05</v>
      </c>
    </row>
    <row r="119" spans="1:28" ht="12.75">
      <c r="A119" s="5">
        <v>50</v>
      </c>
      <c r="B119" s="5">
        <v>0</v>
      </c>
      <c r="C119" s="5">
        <v>0</v>
      </c>
      <c r="D119" s="5">
        <v>1</v>
      </c>
      <c r="E119" s="5">
        <v>227</v>
      </c>
      <c r="F119" s="5">
        <f>ROUND(Source!AX112,O119)</f>
        <v>0</v>
      </c>
      <c r="G119" s="5" t="s">
        <v>86</v>
      </c>
      <c r="H119" s="5" t="s">
        <v>87</v>
      </c>
      <c r="I119" s="5"/>
      <c r="J119" s="5"/>
      <c r="K119" s="5">
        <v>227</v>
      </c>
      <c r="L119" s="5">
        <v>6</v>
      </c>
      <c r="M119" s="5">
        <v>3</v>
      </c>
      <c r="N119" s="5" t="s">
        <v>3</v>
      </c>
      <c r="O119" s="5">
        <v>2</v>
      </c>
      <c r="P119" s="5">
        <f>ROUND(Source!EP112,O119)</f>
        <v>0</v>
      </c>
      <c r="Q119" s="5"/>
      <c r="R119" s="5"/>
      <c r="S119" s="5"/>
      <c r="T119" s="5"/>
      <c r="U119" s="5"/>
      <c r="V119" s="5"/>
      <c r="W119" s="5">
        <v>0</v>
      </c>
      <c r="X119" s="5">
        <v>1</v>
      </c>
      <c r="Y119" s="5">
        <v>0</v>
      </c>
      <c r="Z119" s="5">
        <v>0</v>
      </c>
      <c r="AA119" s="5">
        <v>1</v>
      </c>
      <c r="AB119" s="5">
        <v>0</v>
      </c>
    </row>
    <row r="120" spans="1:28" ht="12.75">
      <c r="A120" s="5">
        <v>50</v>
      </c>
      <c r="B120" s="5">
        <v>0</v>
      </c>
      <c r="C120" s="5">
        <v>0</v>
      </c>
      <c r="D120" s="5">
        <v>1</v>
      </c>
      <c r="E120" s="5">
        <v>228</v>
      </c>
      <c r="F120" s="5">
        <f>ROUND(Source!AY112,O120)</f>
        <v>39054.03</v>
      </c>
      <c r="G120" s="5" t="s">
        <v>88</v>
      </c>
      <c r="H120" s="5" t="s">
        <v>89</v>
      </c>
      <c r="I120" s="5"/>
      <c r="J120" s="5"/>
      <c r="K120" s="5">
        <v>228</v>
      </c>
      <c r="L120" s="5">
        <v>7</v>
      </c>
      <c r="M120" s="5">
        <v>3</v>
      </c>
      <c r="N120" s="5" t="s">
        <v>3</v>
      </c>
      <c r="O120" s="5">
        <v>2</v>
      </c>
      <c r="P120" s="5">
        <f>ROUND(Source!EQ112,O120)</f>
        <v>262443.05</v>
      </c>
      <c r="Q120" s="5"/>
      <c r="R120" s="5"/>
      <c r="S120" s="5"/>
      <c r="T120" s="5"/>
      <c r="U120" s="5"/>
      <c r="V120" s="5"/>
      <c r="W120" s="5">
        <v>39054.03</v>
      </c>
      <c r="X120" s="5">
        <v>1</v>
      </c>
      <c r="Y120" s="5">
        <v>39054.03</v>
      </c>
      <c r="Z120" s="5">
        <v>262443.05</v>
      </c>
      <c r="AA120" s="5">
        <v>1</v>
      </c>
      <c r="AB120" s="5">
        <v>262443.05</v>
      </c>
    </row>
    <row r="121" spans="1:28" ht="12.75">
      <c r="A121" s="5">
        <v>50</v>
      </c>
      <c r="B121" s="5">
        <v>0</v>
      </c>
      <c r="C121" s="5">
        <v>0</v>
      </c>
      <c r="D121" s="5">
        <v>1</v>
      </c>
      <c r="E121" s="5">
        <v>216</v>
      </c>
      <c r="F121" s="5">
        <f>ROUND(Source!AP112,O121)</f>
        <v>0</v>
      </c>
      <c r="G121" s="5" t="s">
        <v>90</v>
      </c>
      <c r="H121" s="5" t="s">
        <v>91</v>
      </c>
      <c r="I121" s="5"/>
      <c r="J121" s="5"/>
      <c r="K121" s="5">
        <v>216</v>
      </c>
      <c r="L121" s="5">
        <v>8</v>
      </c>
      <c r="M121" s="5">
        <v>3</v>
      </c>
      <c r="N121" s="5" t="s">
        <v>3</v>
      </c>
      <c r="O121" s="5">
        <v>2</v>
      </c>
      <c r="P121" s="5">
        <f>ROUND(Source!EH112,O121)</f>
        <v>0</v>
      </c>
      <c r="Q121" s="5"/>
      <c r="R121" s="5"/>
      <c r="S121" s="5"/>
      <c r="T121" s="5"/>
      <c r="U121" s="5"/>
      <c r="V121" s="5"/>
      <c r="W121" s="5">
        <v>0</v>
      </c>
      <c r="X121" s="5">
        <v>1</v>
      </c>
      <c r="Y121" s="5">
        <v>0</v>
      </c>
      <c r="Z121" s="5">
        <v>0</v>
      </c>
      <c r="AA121" s="5">
        <v>1</v>
      </c>
      <c r="AB121" s="5">
        <v>0</v>
      </c>
    </row>
    <row r="122" spans="1:28" ht="12.75">
      <c r="A122" s="5">
        <v>50</v>
      </c>
      <c r="B122" s="5">
        <v>0</v>
      </c>
      <c r="C122" s="5">
        <v>0</v>
      </c>
      <c r="D122" s="5">
        <v>1</v>
      </c>
      <c r="E122" s="5">
        <v>223</v>
      </c>
      <c r="F122" s="5">
        <f>ROUND(Source!AQ112,O122)</f>
        <v>0</v>
      </c>
      <c r="G122" s="5" t="s">
        <v>92</v>
      </c>
      <c r="H122" s="5" t="s">
        <v>93</v>
      </c>
      <c r="I122" s="5"/>
      <c r="J122" s="5"/>
      <c r="K122" s="5">
        <v>223</v>
      </c>
      <c r="L122" s="5">
        <v>9</v>
      </c>
      <c r="M122" s="5">
        <v>3</v>
      </c>
      <c r="N122" s="5" t="s">
        <v>3</v>
      </c>
      <c r="O122" s="5">
        <v>2</v>
      </c>
      <c r="P122" s="5">
        <f>ROUND(Source!EI112,O122)</f>
        <v>0</v>
      </c>
      <c r="Q122" s="5"/>
      <c r="R122" s="5"/>
      <c r="S122" s="5"/>
      <c r="T122" s="5"/>
      <c r="U122" s="5"/>
      <c r="V122" s="5"/>
      <c r="W122" s="5">
        <v>0</v>
      </c>
      <c r="X122" s="5">
        <v>1</v>
      </c>
      <c r="Y122" s="5">
        <v>0</v>
      </c>
      <c r="Z122" s="5">
        <v>0</v>
      </c>
      <c r="AA122" s="5">
        <v>1</v>
      </c>
      <c r="AB122" s="5">
        <v>0</v>
      </c>
    </row>
    <row r="123" spans="1:28" ht="12.75">
      <c r="A123" s="5">
        <v>50</v>
      </c>
      <c r="B123" s="5">
        <v>0</v>
      </c>
      <c r="C123" s="5">
        <v>0</v>
      </c>
      <c r="D123" s="5">
        <v>1</v>
      </c>
      <c r="E123" s="5">
        <v>229</v>
      </c>
      <c r="F123" s="5">
        <f>ROUND(Source!AZ112,O123)</f>
        <v>0</v>
      </c>
      <c r="G123" s="5" t="s">
        <v>94</v>
      </c>
      <c r="H123" s="5" t="s">
        <v>95</v>
      </c>
      <c r="I123" s="5"/>
      <c r="J123" s="5"/>
      <c r="K123" s="5">
        <v>229</v>
      </c>
      <c r="L123" s="5">
        <v>10</v>
      </c>
      <c r="M123" s="5">
        <v>3</v>
      </c>
      <c r="N123" s="5" t="s">
        <v>3</v>
      </c>
      <c r="O123" s="5">
        <v>2</v>
      </c>
      <c r="P123" s="5">
        <f>ROUND(Source!ER112,O123)</f>
        <v>0</v>
      </c>
      <c r="Q123" s="5"/>
      <c r="R123" s="5"/>
      <c r="S123" s="5"/>
      <c r="T123" s="5"/>
      <c r="U123" s="5"/>
      <c r="V123" s="5"/>
      <c r="W123" s="5">
        <v>0</v>
      </c>
      <c r="X123" s="5">
        <v>1</v>
      </c>
      <c r="Y123" s="5">
        <v>0</v>
      </c>
      <c r="Z123" s="5">
        <v>0</v>
      </c>
      <c r="AA123" s="5">
        <v>1</v>
      </c>
      <c r="AB123" s="5">
        <v>0</v>
      </c>
    </row>
    <row r="124" spans="1:28" ht="12.75">
      <c r="A124" s="5">
        <v>50</v>
      </c>
      <c r="B124" s="5">
        <v>0</v>
      </c>
      <c r="C124" s="5">
        <v>0</v>
      </c>
      <c r="D124" s="5">
        <v>1</v>
      </c>
      <c r="E124" s="5">
        <v>203</v>
      </c>
      <c r="F124" s="5">
        <f>ROUND(Source!Q112,O124)</f>
        <v>150.61</v>
      </c>
      <c r="G124" s="5" t="s">
        <v>96</v>
      </c>
      <c r="H124" s="5" t="s">
        <v>97</v>
      </c>
      <c r="I124" s="5"/>
      <c r="J124" s="5"/>
      <c r="K124" s="5">
        <v>203</v>
      </c>
      <c r="L124" s="5">
        <v>11</v>
      </c>
      <c r="M124" s="5">
        <v>3</v>
      </c>
      <c r="N124" s="5" t="s">
        <v>3</v>
      </c>
      <c r="O124" s="5">
        <v>2</v>
      </c>
      <c r="P124" s="5">
        <f>ROUND(Source!DI112,O124)</f>
        <v>1994.53</v>
      </c>
      <c r="Q124" s="5"/>
      <c r="R124" s="5"/>
      <c r="S124" s="5"/>
      <c r="T124" s="5"/>
      <c r="U124" s="5"/>
      <c r="V124" s="5"/>
      <c r="W124" s="5">
        <v>150.61</v>
      </c>
      <c r="X124" s="5">
        <v>1</v>
      </c>
      <c r="Y124" s="5">
        <v>150.61</v>
      </c>
      <c r="Z124" s="5">
        <v>1994.53</v>
      </c>
      <c r="AA124" s="5">
        <v>1</v>
      </c>
      <c r="AB124" s="5">
        <v>1994.53</v>
      </c>
    </row>
    <row r="125" spans="1:28" ht="12.75">
      <c r="A125" s="5">
        <v>50</v>
      </c>
      <c r="B125" s="5">
        <v>0</v>
      </c>
      <c r="C125" s="5">
        <v>0</v>
      </c>
      <c r="D125" s="5">
        <v>1</v>
      </c>
      <c r="E125" s="5">
        <v>231</v>
      </c>
      <c r="F125" s="5">
        <f>ROUND(Source!BB112,O125)</f>
        <v>0</v>
      </c>
      <c r="G125" s="5" t="s">
        <v>98</v>
      </c>
      <c r="H125" s="5" t="s">
        <v>99</v>
      </c>
      <c r="I125" s="5"/>
      <c r="J125" s="5"/>
      <c r="K125" s="5">
        <v>231</v>
      </c>
      <c r="L125" s="5">
        <v>12</v>
      </c>
      <c r="M125" s="5">
        <v>3</v>
      </c>
      <c r="N125" s="5" t="s">
        <v>3</v>
      </c>
      <c r="O125" s="5">
        <v>2</v>
      </c>
      <c r="P125" s="5">
        <f>ROUND(Source!ET112,O125)</f>
        <v>0</v>
      </c>
      <c r="Q125" s="5"/>
      <c r="R125" s="5"/>
      <c r="S125" s="5"/>
      <c r="T125" s="5"/>
      <c r="U125" s="5"/>
      <c r="V125" s="5"/>
      <c r="W125" s="5">
        <v>0</v>
      </c>
      <c r="X125" s="5">
        <v>1</v>
      </c>
      <c r="Y125" s="5">
        <v>0</v>
      </c>
      <c r="Z125" s="5">
        <v>0</v>
      </c>
      <c r="AA125" s="5">
        <v>1</v>
      </c>
      <c r="AB125" s="5">
        <v>0</v>
      </c>
    </row>
    <row r="126" spans="1:28" ht="12.75">
      <c r="A126" s="5">
        <v>50</v>
      </c>
      <c r="B126" s="5">
        <v>0</v>
      </c>
      <c r="C126" s="5">
        <v>0</v>
      </c>
      <c r="D126" s="5">
        <v>1</v>
      </c>
      <c r="E126" s="5">
        <v>204</v>
      </c>
      <c r="F126" s="5">
        <f>ROUND(Source!R112,O126)</f>
        <v>32.18</v>
      </c>
      <c r="G126" s="5" t="s">
        <v>100</v>
      </c>
      <c r="H126" s="5" t="s">
        <v>101</v>
      </c>
      <c r="I126" s="5"/>
      <c r="J126" s="5"/>
      <c r="K126" s="5">
        <v>204</v>
      </c>
      <c r="L126" s="5">
        <v>13</v>
      </c>
      <c r="M126" s="5">
        <v>3</v>
      </c>
      <c r="N126" s="5" t="s">
        <v>3</v>
      </c>
      <c r="O126" s="5">
        <v>2</v>
      </c>
      <c r="P126" s="5">
        <f>ROUND(Source!DJ112,O126)</f>
        <v>1201.8</v>
      </c>
      <c r="Q126" s="5"/>
      <c r="R126" s="5"/>
      <c r="S126" s="5"/>
      <c r="T126" s="5"/>
      <c r="U126" s="5"/>
      <c r="V126" s="5"/>
      <c r="W126" s="5">
        <v>32.18</v>
      </c>
      <c r="X126" s="5">
        <v>1</v>
      </c>
      <c r="Y126" s="5">
        <v>32.18</v>
      </c>
      <c r="Z126" s="5">
        <v>1201.8</v>
      </c>
      <c r="AA126" s="5">
        <v>1</v>
      </c>
      <c r="AB126" s="5">
        <v>1201.8</v>
      </c>
    </row>
    <row r="127" spans="1:28" ht="12.75">
      <c r="A127" s="5">
        <v>50</v>
      </c>
      <c r="B127" s="5">
        <v>0</v>
      </c>
      <c r="C127" s="5">
        <v>0</v>
      </c>
      <c r="D127" s="5">
        <v>1</v>
      </c>
      <c r="E127" s="5">
        <v>205</v>
      </c>
      <c r="F127" s="5">
        <f>ROUND(Source!S112,O127)</f>
        <v>4134.84</v>
      </c>
      <c r="G127" s="5" t="s">
        <v>102</v>
      </c>
      <c r="H127" s="5" t="s">
        <v>103</v>
      </c>
      <c r="I127" s="5"/>
      <c r="J127" s="5"/>
      <c r="K127" s="5">
        <v>205</v>
      </c>
      <c r="L127" s="5">
        <v>14</v>
      </c>
      <c r="M127" s="5">
        <v>3</v>
      </c>
      <c r="N127" s="5" t="s">
        <v>3</v>
      </c>
      <c r="O127" s="5">
        <v>2</v>
      </c>
      <c r="P127" s="5">
        <f>ROUND(Source!DK112,O127)</f>
        <v>154395.18</v>
      </c>
      <c r="Q127" s="5"/>
      <c r="R127" s="5"/>
      <c r="S127" s="5"/>
      <c r="T127" s="5"/>
      <c r="U127" s="5"/>
      <c r="V127" s="5"/>
      <c r="W127" s="5">
        <v>4134.84</v>
      </c>
      <c r="X127" s="5">
        <v>1</v>
      </c>
      <c r="Y127" s="5">
        <v>4134.84</v>
      </c>
      <c r="Z127" s="5">
        <v>154395.18000000002</v>
      </c>
      <c r="AA127" s="5">
        <v>1</v>
      </c>
      <c r="AB127" s="5">
        <v>154395.18000000002</v>
      </c>
    </row>
    <row r="128" spans="1:28" ht="12.75">
      <c r="A128" s="5">
        <v>50</v>
      </c>
      <c r="B128" s="5">
        <v>0</v>
      </c>
      <c r="C128" s="5">
        <v>0</v>
      </c>
      <c r="D128" s="5">
        <v>1</v>
      </c>
      <c r="E128" s="5">
        <v>232</v>
      </c>
      <c r="F128" s="5">
        <f>ROUND(Source!BC112,O128)</f>
        <v>0</v>
      </c>
      <c r="G128" s="5" t="s">
        <v>104</v>
      </c>
      <c r="H128" s="5" t="s">
        <v>105</v>
      </c>
      <c r="I128" s="5"/>
      <c r="J128" s="5"/>
      <c r="K128" s="5">
        <v>232</v>
      </c>
      <c r="L128" s="5">
        <v>15</v>
      </c>
      <c r="M128" s="5">
        <v>3</v>
      </c>
      <c r="N128" s="5" t="s">
        <v>3</v>
      </c>
      <c r="O128" s="5">
        <v>2</v>
      </c>
      <c r="P128" s="5">
        <f>ROUND(Source!EU112,O128)</f>
        <v>0</v>
      </c>
      <c r="Q128" s="5"/>
      <c r="R128" s="5"/>
      <c r="S128" s="5"/>
      <c r="T128" s="5"/>
      <c r="U128" s="5"/>
      <c r="V128" s="5"/>
      <c r="W128" s="5">
        <v>0</v>
      </c>
      <c r="X128" s="5">
        <v>1</v>
      </c>
      <c r="Y128" s="5">
        <v>0</v>
      </c>
      <c r="Z128" s="5">
        <v>0</v>
      </c>
      <c r="AA128" s="5">
        <v>1</v>
      </c>
      <c r="AB128" s="5">
        <v>0</v>
      </c>
    </row>
    <row r="129" spans="1:28" ht="12.75">
      <c r="A129" s="5">
        <v>50</v>
      </c>
      <c r="B129" s="5">
        <v>0</v>
      </c>
      <c r="C129" s="5">
        <v>0</v>
      </c>
      <c r="D129" s="5">
        <v>1</v>
      </c>
      <c r="E129" s="5">
        <v>214</v>
      </c>
      <c r="F129" s="5">
        <f>ROUND(Source!AS112,O129)</f>
        <v>49456.22</v>
      </c>
      <c r="G129" s="5" t="s">
        <v>106</v>
      </c>
      <c r="H129" s="5" t="s">
        <v>107</v>
      </c>
      <c r="I129" s="5"/>
      <c r="J129" s="5"/>
      <c r="K129" s="5">
        <v>214</v>
      </c>
      <c r="L129" s="5">
        <v>16</v>
      </c>
      <c r="M129" s="5">
        <v>3</v>
      </c>
      <c r="N129" s="5" t="s">
        <v>3</v>
      </c>
      <c r="O129" s="5">
        <v>2</v>
      </c>
      <c r="P129" s="5">
        <f>ROUND(Source!EK112,O129)</f>
        <v>641418.27</v>
      </c>
      <c r="Q129" s="5"/>
      <c r="R129" s="5"/>
      <c r="S129" s="5"/>
      <c r="T129" s="5"/>
      <c r="U129" s="5"/>
      <c r="V129" s="5"/>
      <c r="W129" s="5">
        <v>49456.22</v>
      </c>
      <c r="X129" s="5">
        <v>1</v>
      </c>
      <c r="Y129" s="5">
        <v>49456.22</v>
      </c>
      <c r="Z129" s="5">
        <v>641418.27</v>
      </c>
      <c r="AA129" s="5">
        <v>1</v>
      </c>
      <c r="AB129" s="5">
        <v>641418.27</v>
      </c>
    </row>
    <row r="130" spans="1:28" ht="12.75">
      <c r="A130" s="5">
        <v>50</v>
      </c>
      <c r="B130" s="5">
        <v>0</v>
      </c>
      <c r="C130" s="5">
        <v>0</v>
      </c>
      <c r="D130" s="5">
        <v>1</v>
      </c>
      <c r="E130" s="5">
        <v>215</v>
      </c>
      <c r="F130" s="5">
        <f>ROUND(Source!AT112,O130)</f>
        <v>0</v>
      </c>
      <c r="G130" s="5" t="s">
        <v>108</v>
      </c>
      <c r="H130" s="5" t="s">
        <v>109</v>
      </c>
      <c r="I130" s="5"/>
      <c r="J130" s="5"/>
      <c r="K130" s="5">
        <v>215</v>
      </c>
      <c r="L130" s="5">
        <v>17</v>
      </c>
      <c r="M130" s="5">
        <v>3</v>
      </c>
      <c r="N130" s="5" t="s">
        <v>3</v>
      </c>
      <c r="O130" s="5">
        <v>2</v>
      </c>
      <c r="P130" s="5">
        <f>ROUND(Source!EL112,O130)</f>
        <v>0</v>
      </c>
      <c r="Q130" s="5"/>
      <c r="R130" s="5"/>
      <c r="S130" s="5"/>
      <c r="T130" s="5"/>
      <c r="U130" s="5"/>
      <c r="V130" s="5"/>
      <c r="W130" s="5">
        <v>0</v>
      </c>
      <c r="X130" s="5">
        <v>1</v>
      </c>
      <c r="Y130" s="5">
        <v>0</v>
      </c>
      <c r="Z130" s="5">
        <v>0</v>
      </c>
      <c r="AA130" s="5">
        <v>1</v>
      </c>
      <c r="AB130" s="5">
        <v>0</v>
      </c>
    </row>
    <row r="131" spans="1:28" ht="12.75">
      <c r="A131" s="5">
        <v>50</v>
      </c>
      <c r="B131" s="5">
        <v>0</v>
      </c>
      <c r="C131" s="5">
        <v>0</v>
      </c>
      <c r="D131" s="5">
        <v>1</v>
      </c>
      <c r="E131" s="5">
        <v>217</v>
      </c>
      <c r="F131" s="5">
        <f>ROUND(Source!AU112,O131)</f>
        <v>0</v>
      </c>
      <c r="G131" s="5" t="s">
        <v>110</v>
      </c>
      <c r="H131" s="5" t="s">
        <v>111</v>
      </c>
      <c r="I131" s="5"/>
      <c r="J131" s="5"/>
      <c r="K131" s="5">
        <v>217</v>
      </c>
      <c r="L131" s="5">
        <v>18</v>
      </c>
      <c r="M131" s="5">
        <v>3</v>
      </c>
      <c r="N131" s="5" t="s">
        <v>3</v>
      </c>
      <c r="O131" s="5">
        <v>2</v>
      </c>
      <c r="P131" s="5">
        <f>ROUND(Source!EM112,O131)</f>
        <v>0</v>
      </c>
      <c r="Q131" s="5"/>
      <c r="R131" s="5"/>
      <c r="S131" s="5"/>
      <c r="T131" s="5"/>
      <c r="U131" s="5"/>
      <c r="V131" s="5"/>
      <c r="W131" s="5">
        <v>0</v>
      </c>
      <c r="X131" s="5">
        <v>1</v>
      </c>
      <c r="Y131" s="5">
        <v>0</v>
      </c>
      <c r="Z131" s="5">
        <v>0</v>
      </c>
      <c r="AA131" s="5">
        <v>1</v>
      </c>
      <c r="AB131" s="5">
        <v>0</v>
      </c>
    </row>
    <row r="132" spans="1:28" ht="12.75">
      <c r="A132" s="5">
        <v>50</v>
      </c>
      <c r="B132" s="5">
        <v>0</v>
      </c>
      <c r="C132" s="5">
        <v>0</v>
      </c>
      <c r="D132" s="5">
        <v>1</v>
      </c>
      <c r="E132" s="5">
        <v>230</v>
      </c>
      <c r="F132" s="5">
        <f>ROUND(Source!BA112,O132)</f>
        <v>0</v>
      </c>
      <c r="G132" s="5" t="s">
        <v>112</v>
      </c>
      <c r="H132" s="5" t="s">
        <v>113</v>
      </c>
      <c r="I132" s="5"/>
      <c r="J132" s="5"/>
      <c r="K132" s="5">
        <v>230</v>
      </c>
      <c r="L132" s="5">
        <v>19</v>
      </c>
      <c r="M132" s="5">
        <v>3</v>
      </c>
      <c r="N132" s="5" t="s">
        <v>3</v>
      </c>
      <c r="O132" s="5">
        <v>2</v>
      </c>
      <c r="P132" s="5">
        <f>ROUND(Source!ES112,O132)</f>
        <v>0</v>
      </c>
      <c r="Q132" s="5"/>
      <c r="R132" s="5"/>
      <c r="S132" s="5"/>
      <c r="T132" s="5"/>
      <c r="U132" s="5"/>
      <c r="V132" s="5"/>
      <c r="W132" s="5">
        <v>0</v>
      </c>
      <c r="X132" s="5">
        <v>1</v>
      </c>
      <c r="Y132" s="5">
        <v>0</v>
      </c>
      <c r="Z132" s="5">
        <v>0</v>
      </c>
      <c r="AA132" s="5">
        <v>1</v>
      </c>
      <c r="AB132" s="5">
        <v>0</v>
      </c>
    </row>
    <row r="133" spans="1:28" ht="12.75">
      <c r="A133" s="5">
        <v>50</v>
      </c>
      <c r="B133" s="5">
        <v>0</v>
      </c>
      <c r="C133" s="5">
        <v>0</v>
      </c>
      <c r="D133" s="5">
        <v>1</v>
      </c>
      <c r="E133" s="5">
        <v>206</v>
      </c>
      <c r="F133" s="5">
        <f>ROUND(Source!T112,O133)</f>
        <v>0</v>
      </c>
      <c r="G133" s="5" t="s">
        <v>114</v>
      </c>
      <c r="H133" s="5" t="s">
        <v>115</v>
      </c>
      <c r="I133" s="5"/>
      <c r="J133" s="5"/>
      <c r="K133" s="5">
        <v>206</v>
      </c>
      <c r="L133" s="5">
        <v>20</v>
      </c>
      <c r="M133" s="5">
        <v>3</v>
      </c>
      <c r="N133" s="5" t="s">
        <v>3</v>
      </c>
      <c r="O133" s="5">
        <v>2</v>
      </c>
      <c r="P133" s="5">
        <f>ROUND(Source!DL112,O133)</f>
        <v>0</v>
      </c>
      <c r="Q133" s="5"/>
      <c r="R133" s="5"/>
      <c r="S133" s="5"/>
      <c r="T133" s="5"/>
      <c r="U133" s="5"/>
      <c r="V133" s="5"/>
      <c r="W133" s="5">
        <v>0</v>
      </c>
      <c r="X133" s="5">
        <v>1</v>
      </c>
      <c r="Y133" s="5">
        <v>0</v>
      </c>
      <c r="Z133" s="5">
        <v>0</v>
      </c>
      <c r="AA133" s="5">
        <v>1</v>
      </c>
      <c r="AB133" s="5">
        <v>0</v>
      </c>
    </row>
    <row r="134" spans="1:28" ht="12.75">
      <c r="A134" s="5">
        <v>50</v>
      </c>
      <c r="B134" s="5">
        <v>0</v>
      </c>
      <c r="C134" s="5">
        <v>0</v>
      </c>
      <c r="D134" s="5">
        <v>1</v>
      </c>
      <c r="E134" s="5">
        <v>207</v>
      </c>
      <c r="F134" s="5">
        <f>Source!U112</f>
        <v>452.9579708</v>
      </c>
      <c r="G134" s="5" t="s">
        <v>116</v>
      </c>
      <c r="H134" s="5" t="s">
        <v>117</v>
      </c>
      <c r="I134" s="5"/>
      <c r="J134" s="5"/>
      <c r="K134" s="5">
        <v>207</v>
      </c>
      <c r="L134" s="5">
        <v>21</v>
      </c>
      <c r="M134" s="5">
        <v>3</v>
      </c>
      <c r="N134" s="5" t="s">
        <v>3</v>
      </c>
      <c r="O134" s="5">
        <v>-1</v>
      </c>
      <c r="P134" s="5">
        <f>Source!DM112</f>
        <v>452.9579708</v>
      </c>
      <c r="Q134" s="5"/>
      <c r="R134" s="5"/>
      <c r="S134" s="5"/>
      <c r="T134" s="5"/>
      <c r="U134" s="5"/>
      <c r="V134" s="5"/>
      <c r="W134" s="5">
        <v>452.9579708</v>
      </c>
      <c r="X134" s="5">
        <v>1</v>
      </c>
      <c r="Y134" s="5">
        <v>452.9579708</v>
      </c>
      <c r="Z134" s="5">
        <v>452.9579708</v>
      </c>
      <c r="AA134" s="5">
        <v>1</v>
      </c>
      <c r="AB134" s="5">
        <v>452.9579708</v>
      </c>
    </row>
    <row r="135" spans="1:28" ht="12.75">
      <c r="A135" s="5">
        <v>50</v>
      </c>
      <c r="B135" s="5">
        <v>0</v>
      </c>
      <c r="C135" s="5">
        <v>0</v>
      </c>
      <c r="D135" s="5">
        <v>1</v>
      </c>
      <c r="E135" s="5">
        <v>208</v>
      </c>
      <c r="F135" s="5">
        <f>Source!V112</f>
        <v>2.65639</v>
      </c>
      <c r="G135" s="5" t="s">
        <v>118</v>
      </c>
      <c r="H135" s="5" t="s">
        <v>119</v>
      </c>
      <c r="I135" s="5"/>
      <c r="J135" s="5"/>
      <c r="K135" s="5">
        <v>208</v>
      </c>
      <c r="L135" s="5">
        <v>22</v>
      </c>
      <c r="M135" s="5">
        <v>3</v>
      </c>
      <c r="N135" s="5" t="s">
        <v>3</v>
      </c>
      <c r="O135" s="5">
        <v>-1</v>
      </c>
      <c r="P135" s="5">
        <f>Source!DN112</f>
        <v>2.65639</v>
      </c>
      <c r="Q135" s="5"/>
      <c r="R135" s="5"/>
      <c r="S135" s="5"/>
      <c r="T135" s="5"/>
      <c r="U135" s="5"/>
      <c r="V135" s="5"/>
      <c r="W135" s="5">
        <v>2.65639</v>
      </c>
      <c r="X135" s="5">
        <v>1</v>
      </c>
      <c r="Y135" s="5">
        <v>2.65639</v>
      </c>
      <c r="Z135" s="5">
        <v>2.65639</v>
      </c>
      <c r="AA135" s="5">
        <v>1</v>
      </c>
      <c r="AB135" s="5">
        <v>2.65639</v>
      </c>
    </row>
    <row r="136" spans="1:28" ht="12.75">
      <c r="A136" s="5">
        <v>50</v>
      </c>
      <c r="B136" s="5">
        <v>0</v>
      </c>
      <c r="C136" s="5">
        <v>0</v>
      </c>
      <c r="D136" s="5">
        <v>1</v>
      </c>
      <c r="E136" s="5">
        <v>209</v>
      </c>
      <c r="F136" s="5">
        <f>ROUND(Source!W112,O136)</f>
        <v>0</v>
      </c>
      <c r="G136" s="5" t="s">
        <v>120</v>
      </c>
      <c r="H136" s="5" t="s">
        <v>121</v>
      </c>
      <c r="I136" s="5"/>
      <c r="J136" s="5"/>
      <c r="K136" s="5">
        <v>209</v>
      </c>
      <c r="L136" s="5">
        <v>23</v>
      </c>
      <c r="M136" s="5">
        <v>3</v>
      </c>
      <c r="N136" s="5" t="s">
        <v>3</v>
      </c>
      <c r="O136" s="5">
        <v>2</v>
      </c>
      <c r="P136" s="5">
        <f>ROUND(Source!DO112,O136)</f>
        <v>0</v>
      </c>
      <c r="Q136" s="5"/>
      <c r="R136" s="5"/>
      <c r="S136" s="5"/>
      <c r="T136" s="5"/>
      <c r="U136" s="5"/>
      <c r="V136" s="5"/>
      <c r="W136" s="5">
        <v>0</v>
      </c>
      <c r="X136" s="5">
        <v>1</v>
      </c>
      <c r="Y136" s="5">
        <v>0</v>
      </c>
      <c r="Z136" s="5">
        <v>0</v>
      </c>
      <c r="AA136" s="5">
        <v>1</v>
      </c>
      <c r="AB136" s="5">
        <v>0</v>
      </c>
    </row>
    <row r="137" spans="1:28" ht="12.75">
      <c r="A137" s="5">
        <v>50</v>
      </c>
      <c r="B137" s="5">
        <v>0</v>
      </c>
      <c r="C137" s="5">
        <v>0</v>
      </c>
      <c r="D137" s="5">
        <v>1</v>
      </c>
      <c r="E137" s="5">
        <v>233</v>
      </c>
      <c r="F137" s="5">
        <f>ROUND(Source!BD112,O137)</f>
        <v>241.25</v>
      </c>
      <c r="G137" s="5" t="s">
        <v>122</v>
      </c>
      <c r="H137" s="5" t="s">
        <v>123</v>
      </c>
      <c r="I137" s="5"/>
      <c r="J137" s="5"/>
      <c r="K137" s="5">
        <v>233</v>
      </c>
      <c r="L137" s="5">
        <v>24</v>
      </c>
      <c r="M137" s="5">
        <v>3</v>
      </c>
      <c r="N137" s="5" t="s">
        <v>3</v>
      </c>
      <c r="O137" s="5">
        <v>2</v>
      </c>
      <c r="P137" s="5">
        <f>ROUND(Source!EV112,O137)</f>
        <v>3194.08</v>
      </c>
      <c r="Q137" s="5"/>
      <c r="R137" s="5"/>
      <c r="S137" s="5"/>
      <c r="T137" s="5"/>
      <c r="U137" s="5"/>
      <c r="V137" s="5"/>
      <c r="W137" s="5">
        <v>241.25</v>
      </c>
      <c r="X137" s="5">
        <v>1</v>
      </c>
      <c r="Y137" s="5">
        <v>241.25</v>
      </c>
      <c r="Z137" s="5">
        <v>3194.08</v>
      </c>
      <c r="AA137" s="5">
        <v>1</v>
      </c>
      <c r="AB137" s="5">
        <v>3194.08</v>
      </c>
    </row>
    <row r="138" spans="1:28" ht="12.75">
      <c r="A138" s="5">
        <v>50</v>
      </c>
      <c r="B138" s="5">
        <v>0</v>
      </c>
      <c r="C138" s="5">
        <v>0</v>
      </c>
      <c r="D138" s="5">
        <v>1</v>
      </c>
      <c r="E138" s="5">
        <v>210</v>
      </c>
      <c r="F138" s="5">
        <f>ROUND(Source!X112,O138)</f>
        <v>3847.36</v>
      </c>
      <c r="G138" s="5" t="s">
        <v>124</v>
      </c>
      <c r="H138" s="5" t="s">
        <v>125</v>
      </c>
      <c r="I138" s="5"/>
      <c r="J138" s="5"/>
      <c r="K138" s="5">
        <v>210</v>
      </c>
      <c r="L138" s="5">
        <v>25</v>
      </c>
      <c r="M138" s="5">
        <v>3</v>
      </c>
      <c r="N138" s="5" t="s">
        <v>3</v>
      </c>
      <c r="O138" s="5">
        <v>2</v>
      </c>
      <c r="P138" s="5">
        <f>ROUND(Source!DP112,O138)</f>
        <v>143660.9</v>
      </c>
      <c r="Q138" s="5"/>
      <c r="R138" s="5"/>
      <c r="S138" s="5"/>
      <c r="T138" s="5"/>
      <c r="U138" s="5"/>
      <c r="V138" s="5"/>
      <c r="W138" s="5">
        <v>3847.36</v>
      </c>
      <c r="X138" s="5">
        <v>1</v>
      </c>
      <c r="Y138" s="5">
        <v>3847.36</v>
      </c>
      <c r="Z138" s="5">
        <v>143660.9</v>
      </c>
      <c r="AA138" s="5">
        <v>1</v>
      </c>
      <c r="AB138" s="5">
        <v>143660.9</v>
      </c>
    </row>
    <row r="139" spans="1:28" ht="12.75">
      <c r="A139" s="5">
        <v>50</v>
      </c>
      <c r="B139" s="5">
        <v>0</v>
      </c>
      <c r="C139" s="5">
        <v>0</v>
      </c>
      <c r="D139" s="5">
        <v>1</v>
      </c>
      <c r="E139" s="5">
        <v>211</v>
      </c>
      <c r="F139" s="5">
        <f>ROUND(Source!Y112,O139)</f>
        <v>2028.13</v>
      </c>
      <c r="G139" s="5" t="s">
        <v>126</v>
      </c>
      <c r="H139" s="5" t="s">
        <v>127</v>
      </c>
      <c r="I139" s="5"/>
      <c r="J139" s="5"/>
      <c r="K139" s="5">
        <v>211</v>
      </c>
      <c r="L139" s="5">
        <v>26</v>
      </c>
      <c r="M139" s="5">
        <v>3</v>
      </c>
      <c r="N139" s="5" t="s">
        <v>3</v>
      </c>
      <c r="O139" s="5">
        <v>2</v>
      </c>
      <c r="P139" s="5">
        <f>ROUND(Source!DQ112,O139)</f>
        <v>75730.53</v>
      </c>
      <c r="Q139" s="5"/>
      <c r="R139" s="5"/>
      <c r="S139" s="5"/>
      <c r="T139" s="5"/>
      <c r="U139" s="5"/>
      <c r="V139" s="5"/>
      <c r="W139" s="5">
        <v>2028.13</v>
      </c>
      <c r="X139" s="5">
        <v>1</v>
      </c>
      <c r="Y139" s="5">
        <v>2028.13</v>
      </c>
      <c r="Z139" s="5">
        <v>75730.53</v>
      </c>
      <c r="AA139" s="5">
        <v>1</v>
      </c>
      <c r="AB139" s="5">
        <v>75730.53</v>
      </c>
    </row>
    <row r="140" spans="1:28" ht="12.75">
      <c r="A140" s="5">
        <v>50</v>
      </c>
      <c r="B140" s="5">
        <v>0</v>
      </c>
      <c r="C140" s="5">
        <v>0</v>
      </c>
      <c r="D140" s="5">
        <v>1</v>
      </c>
      <c r="E140" s="5">
        <v>0</v>
      </c>
      <c r="F140" s="5">
        <f>ROUND(Source!AR112,O140)</f>
        <v>49456.22</v>
      </c>
      <c r="G140" s="5" t="s">
        <v>128</v>
      </c>
      <c r="H140" s="5" t="s">
        <v>129</v>
      </c>
      <c r="I140" s="5"/>
      <c r="J140" s="5"/>
      <c r="K140" s="5">
        <v>224</v>
      </c>
      <c r="L140" s="5">
        <v>27</v>
      </c>
      <c r="M140" s="5">
        <v>3</v>
      </c>
      <c r="N140" s="5" t="s">
        <v>3</v>
      </c>
      <c r="O140" s="5">
        <v>2</v>
      </c>
      <c r="P140" s="5">
        <f>ROUND(Source!EJ112,O140)</f>
        <v>641418.27</v>
      </c>
      <c r="Q140" s="5"/>
      <c r="R140" s="5"/>
      <c r="S140" s="5"/>
      <c r="T140" s="5"/>
      <c r="U140" s="5"/>
      <c r="V140" s="5"/>
      <c r="W140" s="5">
        <v>49456.219999999994</v>
      </c>
      <c r="X140" s="5">
        <v>1</v>
      </c>
      <c r="Y140" s="5">
        <v>49456.219999999994</v>
      </c>
      <c r="Z140" s="5">
        <v>641418.27</v>
      </c>
      <c r="AA140" s="5">
        <v>1</v>
      </c>
      <c r="AB140" s="5">
        <v>641418.27</v>
      </c>
    </row>
    <row r="141" spans="1:28" ht="12.75">
      <c r="A141" s="5">
        <v>50</v>
      </c>
      <c r="B141" s="5">
        <v>0</v>
      </c>
      <c r="C141" s="5">
        <v>0</v>
      </c>
      <c r="D141" s="5">
        <v>2</v>
      </c>
      <c r="E141" s="5">
        <v>0</v>
      </c>
      <c r="F141" s="5">
        <f>ROUND(F140,O141)</f>
        <v>49456.22</v>
      </c>
      <c r="G141" s="5" t="s">
        <v>130</v>
      </c>
      <c r="H141" s="5" t="s">
        <v>147</v>
      </c>
      <c r="I141" s="5"/>
      <c r="J141" s="5"/>
      <c r="K141" s="5">
        <v>212</v>
      </c>
      <c r="L141" s="5">
        <v>28</v>
      </c>
      <c r="M141" s="5">
        <v>3</v>
      </c>
      <c r="N141" s="5" t="s">
        <v>3</v>
      </c>
      <c r="O141" s="5">
        <v>2</v>
      </c>
      <c r="P141" s="5">
        <f>ROUND(P140,O141)</f>
        <v>641418.27</v>
      </c>
      <c r="Q141" s="5"/>
      <c r="R141" s="5"/>
      <c r="S141" s="5"/>
      <c r="T141" s="5"/>
      <c r="U141" s="5"/>
      <c r="V141" s="5"/>
      <c r="W141" s="5">
        <v>49456.22</v>
      </c>
      <c r="X141" s="5">
        <v>1</v>
      </c>
      <c r="Y141" s="5">
        <v>49456.22</v>
      </c>
      <c r="Z141" s="5">
        <v>641418.27</v>
      </c>
      <c r="AA141" s="5">
        <v>1</v>
      </c>
      <c r="AB141" s="5">
        <v>641418.27</v>
      </c>
    </row>
    <row r="142" spans="1:28" ht="12.75">
      <c r="A142" s="5">
        <v>50</v>
      </c>
      <c r="B142" s="5">
        <v>1</v>
      </c>
      <c r="C142" s="5">
        <v>0</v>
      </c>
      <c r="D142" s="5">
        <v>2</v>
      </c>
      <c r="E142" s="5">
        <v>0</v>
      </c>
      <c r="F142" s="5">
        <f>ROUND(F141*0.2,O142)</f>
        <v>9891.24</v>
      </c>
      <c r="G142" s="5" t="s">
        <v>148</v>
      </c>
      <c r="H142" s="5" t="s">
        <v>149</v>
      </c>
      <c r="I142" s="5"/>
      <c r="J142" s="5"/>
      <c r="K142" s="5">
        <v>212</v>
      </c>
      <c r="L142" s="5">
        <v>31</v>
      </c>
      <c r="M142" s="5">
        <v>0</v>
      </c>
      <c r="N142" s="5" t="s">
        <v>3</v>
      </c>
      <c r="O142" s="5">
        <v>2</v>
      </c>
      <c r="P142" s="5">
        <f>ROUND(P141*0.2,O142)</f>
        <v>128283.65</v>
      </c>
      <c r="Q142" s="5"/>
      <c r="R142" s="5"/>
      <c r="S142" s="5"/>
      <c r="T142" s="5"/>
      <c r="U142" s="5"/>
      <c r="V142" s="5"/>
      <c r="W142" s="5">
        <v>9891.24</v>
      </c>
      <c r="X142" s="5">
        <v>1</v>
      </c>
      <c r="Y142" s="5">
        <v>9891.24</v>
      </c>
      <c r="Z142" s="5">
        <v>128283.65</v>
      </c>
      <c r="AA142" s="5">
        <v>1</v>
      </c>
      <c r="AB142" s="5">
        <v>128283.65</v>
      </c>
    </row>
    <row r="143" spans="1:28" ht="12.75">
      <c r="A143" s="5">
        <v>50</v>
      </c>
      <c r="B143" s="5">
        <v>1</v>
      </c>
      <c r="C143" s="5">
        <v>0</v>
      </c>
      <c r="D143" s="5">
        <v>2</v>
      </c>
      <c r="E143" s="5">
        <v>224</v>
      </c>
      <c r="F143" s="5">
        <f>ROUND(F141+F142,O143)</f>
        <v>59347.46</v>
      </c>
      <c r="G143" s="5" t="s">
        <v>150</v>
      </c>
      <c r="H143" s="5" t="s">
        <v>151</v>
      </c>
      <c r="I143" s="5"/>
      <c r="J143" s="5"/>
      <c r="K143" s="5">
        <v>212</v>
      </c>
      <c r="L143" s="5">
        <v>32</v>
      </c>
      <c r="M143" s="5">
        <v>0</v>
      </c>
      <c r="N143" s="5" t="s">
        <v>3</v>
      </c>
      <c r="O143" s="5">
        <v>2</v>
      </c>
      <c r="P143" s="5">
        <f>ROUND(P141+P142,O143)</f>
        <v>769701.92</v>
      </c>
      <c r="Q143" s="5"/>
      <c r="R143" s="5"/>
      <c r="S143" s="5"/>
      <c r="T143" s="5"/>
      <c r="U143" s="5"/>
      <c r="V143" s="5"/>
      <c r="W143" s="5">
        <v>59347.46</v>
      </c>
      <c r="X143" s="5">
        <v>1</v>
      </c>
      <c r="Y143" s="5">
        <v>59347.46</v>
      </c>
      <c r="Z143" s="5">
        <v>769701.92</v>
      </c>
      <c r="AA143" s="5">
        <v>1</v>
      </c>
      <c r="AB143" s="5">
        <v>769701.92</v>
      </c>
    </row>
    <row r="145" spans="1:206" ht="12.75">
      <c r="A145" s="3">
        <v>51</v>
      </c>
      <c r="B145" s="3">
        <f>B12</f>
        <v>208</v>
      </c>
      <c r="C145" s="3">
        <f>A12</f>
        <v>1</v>
      </c>
      <c r="D145" s="3">
        <f>ROW(A12)</f>
        <v>12</v>
      </c>
      <c r="E145" s="3"/>
      <c r="F145" s="3">
        <f>IF(F12&lt;&gt;"",F12,"")</f>
      </c>
      <c r="G145" s="3" t="str">
        <f>IF(G12&lt;&gt;"",G12,"")</f>
        <v>Выполнение работ по замене остекления строения 3 ИПУ РАН</v>
      </c>
      <c r="H145" s="3">
        <v>0</v>
      </c>
      <c r="I145" s="3"/>
      <c r="J145" s="3"/>
      <c r="K145" s="3"/>
      <c r="L145" s="3"/>
      <c r="M145" s="3"/>
      <c r="N145" s="3"/>
      <c r="O145" s="3">
        <f aca="true" t="shared" si="78" ref="O145:T145">ROUND(O112,2)</f>
        <v>43339.48</v>
      </c>
      <c r="P145" s="3">
        <f t="shared" si="78"/>
        <v>39054.03</v>
      </c>
      <c r="Q145" s="3">
        <f t="shared" si="78"/>
        <v>150.61</v>
      </c>
      <c r="R145" s="3">
        <f t="shared" si="78"/>
        <v>32.18</v>
      </c>
      <c r="S145" s="3">
        <f t="shared" si="78"/>
        <v>4134.84</v>
      </c>
      <c r="T145" s="3">
        <f t="shared" si="78"/>
        <v>0</v>
      </c>
      <c r="U145" s="3">
        <f>U112</f>
        <v>452.9579708</v>
      </c>
      <c r="V145" s="3">
        <f>V112</f>
        <v>2.65639</v>
      </c>
      <c r="W145" s="3">
        <f>ROUND(W112,2)</f>
        <v>0</v>
      </c>
      <c r="X145" s="3">
        <f>ROUND(X112,2)</f>
        <v>3847.36</v>
      </c>
      <c r="Y145" s="3">
        <f>ROUND(Y112,2)</f>
        <v>2028.13</v>
      </c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>
        <f aca="true" t="shared" si="79" ref="AO145:BD145">ROUND(AO112,2)</f>
        <v>0</v>
      </c>
      <c r="AP145" s="3">
        <f t="shared" si="79"/>
        <v>0</v>
      </c>
      <c r="AQ145" s="3">
        <f t="shared" si="79"/>
        <v>0</v>
      </c>
      <c r="AR145" s="3">
        <f t="shared" si="79"/>
        <v>49456.22</v>
      </c>
      <c r="AS145" s="3">
        <f t="shared" si="79"/>
        <v>49456.22</v>
      </c>
      <c r="AT145" s="3">
        <f t="shared" si="79"/>
        <v>0</v>
      </c>
      <c r="AU145" s="3">
        <f t="shared" si="79"/>
        <v>0</v>
      </c>
      <c r="AV145" s="3">
        <f t="shared" si="79"/>
        <v>39054.03</v>
      </c>
      <c r="AW145" s="3">
        <f t="shared" si="79"/>
        <v>39054.03</v>
      </c>
      <c r="AX145" s="3">
        <f t="shared" si="79"/>
        <v>0</v>
      </c>
      <c r="AY145" s="3">
        <f t="shared" si="79"/>
        <v>39054.03</v>
      </c>
      <c r="AZ145" s="3">
        <f t="shared" si="79"/>
        <v>0</v>
      </c>
      <c r="BA145" s="3">
        <f t="shared" si="79"/>
        <v>0</v>
      </c>
      <c r="BB145" s="3">
        <f t="shared" si="79"/>
        <v>0</v>
      </c>
      <c r="BC145" s="3">
        <f t="shared" si="79"/>
        <v>0</v>
      </c>
      <c r="BD145" s="3">
        <f t="shared" si="79"/>
        <v>241.25</v>
      </c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4">
        <f aca="true" t="shared" si="80" ref="DG145:DL145">ROUND(DG112,2)</f>
        <v>418832.76</v>
      </c>
      <c r="DH145" s="4">
        <f t="shared" si="80"/>
        <v>262443.05</v>
      </c>
      <c r="DI145" s="4">
        <f t="shared" si="80"/>
        <v>1994.53</v>
      </c>
      <c r="DJ145" s="4">
        <f t="shared" si="80"/>
        <v>1201.8</v>
      </c>
      <c r="DK145" s="4">
        <f t="shared" si="80"/>
        <v>154395.18</v>
      </c>
      <c r="DL145" s="4">
        <f t="shared" si="80"/>
        <v>0</v>
      </c>
      <c r="DM145" s="4">
        <f>DM112</f>
        <v>452.9579708</v>
      </c>
      <c r="DN145" s="4">
        <f>DN112</f>
        <v>2.65639</v>
      </c>
      <c r="DO145" s="4">
        <f>ROUND(DO112,2)</f>
        <v>0</v>
      </c>
      <c r="DP145" s="4">
        <f>ROUND(DP112,2)</f>
        <v>143660.9</v>
      </c>
      <c r="DQ145" s="4">
        <f>ROUND(DQ112,2)</f>
        <v>75730.53</v>
      </c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>
        <f aca="true" t="shared" si="81" ref="EG145:EV145">ROUND(EG112,2)</f>
        <v>0</v>
      </c>
      <c r="EH145" s="4">
        <f t="shared" si="81"/>
        <v>0</v>
      </c>
      <c r="EI145" s="4">
        <f t="shared" si="81"/>
        <v>0</v>
      </c>
      <c r="EJ145" s="4">
        <f t="shared" si="81"/>
        <v>641418.27</v>
      </c>
      <c r="EK145" s="4">
        <f t="shared" si="81"/>
        <v>641418.27</v>
      </c>
      <c r="EL145" s="4">
        <f t="shared" si="81"/>
        <v>0</v>
      </c>
      <c r="EM145" s="4">
        <f t="shared" si="81"/>
        <v>0</v>
      </c>
      <c r="EN145" s="4">
        <f t="shared" si="81"/>
        <v>262443.05</v>
      </c>
      <c r="EO145" s="4">
        <f t="shared" si="81"/>
        <v>262443.05</v>
      </c>
      <c r="EP145" s="4">
        <f t="shared" si="81"/>
        <v>0</v>
      </c>
      <c r="EQ145" s="4">
        <f t="shared" si="81"/>
        <v>262443.05</v>
      </c>
      <c r="ER145" s="4">
        <f t="shared" si="81"/>
        <v>0</v>
      </c>
      <c r="ES145" s="4">
        <f t="shared" si="81"/>
        <v>0</v>
      </c>
      <c r="ET145" s="4">
        <f t="shared" si="81"/>
        <v>0</v>
      </c>
      <c r="EU145" s="4">
        <f t="shared" si="81"/>
        <v>0</v>
      </c>
      <c r="EV145" s="4">
        <f t="shared" si="81"/>
        <v>3194.08</v>
      </c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>
        <v>0</v>
      </c>
    </row>
    <row r="147" spans="1:28" ht="12.75">
      <c r="A147" s="5">
        <v>50</v>
      </c>
      <c r="B147" s="5">
        <v>0</v>
      </c>
      <c r="C147" s="5">
        <v>0</v>
      </c>
      <c r="D147" s="5">
        <v>1</v>
      </c>
      <c r="E147" s="5">
        <v>201</v>
      </c>
      <c r="F147" s="5">
        <f>ROUND(Source!O145,O147)</f>
        <v>43339.48</v>
      </c>
      <c r="G147" s="5" t="s">
        <v>76</v>
      </c>
      <c r="H147" s="5" t="s">
        <v>77</v>
      </c>
      <c r="I147" s="5"/>
      <c r="J147" s="5"/>
      <c r="K147" s="5">
        <v>201</v>
      </c>
      <c r="L147" s="5">
        <v>1</v>
      </c>
      <c r="M147" s="5">
        <v>3</v>
      </c>
      <c r="N147" s="5" t="s">
        <v>3</v>
      </c>
      <c r="O147" s="5">
        <v>2</v>
      </c>
      <c r="P147" s="5">
        <f>ROUND(Source!DG145,O147)</f>
        <v>418832.76</v>
      </c>
      <c r="Q147" s="5"/>
      <c r="R147" s="5"/>
      <c r="S147" s="5"/>
      <c r="T147" s="5"/>
      <c r="U147" s="5"/>
      <c r="V147" s="5"/>
      <c r="W147" s="5">
        <v>43580.729999999996</v>
      </c>
      <c r="X147" s="5">
        <v>1</v>
      </c>
      <c r="Y147" s="5">
        <v>43580.729999999996</v>
      </c>
      <c r="Z147" s="5">
        <v>422026.84</v>
      </c>
      <c r="AA147" s="5">
        <v>1</v>
      </c>
      <c r="AB147" s="5">
        <v>422026.84</v>
      </c>
    </row>
    <row r="148" spans="1:28" ht="12.75">
      <c r="A148" s="5">
        <v>50</v>
      </c>
      <c r="B148" s="5">
        <v>0</v>
      </c>
      <c r="C148" s="5">
        <v>0</v>
      </c>
      <c r="D148" s="5">
        <v>1</v>
      </c>
      <c r="E148" s="5">
        <v>202</v>
      </c>
      <c r="F148" s="5">
        <f>ROUND(Source!P145,O148)</f>
        <v>39054.03</v>
      </c>
      <c r="G148" s="5" t="s">
        <v>78</v>
      </c>
      <c r="H148" s="5" t="s">
        <v>79</v>
      </c>
      <c r="I148" s="5"/>
      <c r="J148" s="5"/>
      <c r="K148" s="5">
        <v>202</v>
      </c>
      <c r="L148" s="5">
        <v>2</v>
      </c>
      <c r="M148" s="5">
        <v>3</v>
      </c>
      <c r="N148" s="5" t="s">
        <v>3</v>
      </c>
      <c r="O148" s="5">
        <v>2</v>
      </c>
      <c r="P148" s="5">
        <f>ROUND(Source!DH145,O148)</f>
        <v>262443.05</v>
      </c>
      <c r="Q148" s="5"/>
      <c r="R148" s="5"/>
      <c r="S148" s="5"/>
      <c r="T148" s="5"/>
      <c r="U148" s="5"/>
      <c r="V148" s="5"/>
      <c r="W148" s="5">
        <v>39054.03</v>
      </c>
      <c r="X148" s="5">
        <v>1</v>
      </c>
      <c r="Y148" s="5">
        <v>39054.03</v>
      </c>
      <c r="Z148" s="5">
        <v>262443.05</v>
      </c>
      <c r="AA148" s="5">
        <v>1</v>
      </c>
      <c r="AB148" s="5">
        <v>262443.05</v>
      </c>
    </row>
    <row r="149" spans="1:28" ht="12.75">
      <c r="A149" s="5">
        <v>50</v>
      </c>
      <c r="B149" s="5">
        <v>0</v>
      </c>
      <c r="C149" s="5">
        <v>0</v>
      </c>
      <c r="D149" s="5">
        <v>1</v>
      </c>
      <c r="E149" s="5">
        <v>222</v>
      </c>
      <c r="F149" s="5">
        <f>ROUND(Source!AO145,O149)</f>
        <v>0</v>
      </c>
      <c r="G149" s="5" t="s">
        <v>80</v>
      </c>
      <c r="H149" s="5" t="s">
        <v>81</v>
      </c>
      <c r="I149" s="5"/>
      <c r="J149" s="5"/>
      <c r="K149" s="5">
        <v>222</v>
      </c>
      <c r="L149" s="5">
        <v>3</v>
      </c>
      <c r="M149" s="5">
        <v>3</v>
      </c>
      <c r="N149" s="5" t="s">
        <v>3</v>
      </c>
      <c r="O149" s="5">
        <v>2</v>
      </c>
      <c r="P149" s="5">
        <f>ROUND(Source!EG145,O149)</f>
        <v>0</v>
      </c>
      <c r="Q149" s="5"/>
      <c r="R149" s="5"/>
      <c r="S149" s="5"/>
      <c r="T149" s="5"/>
      <c r="U149" s="5"/>
      <c r="V149" s="5"/>
      <c r="W149" s="5">
        <v>0</v>
      </c>
      <c r="X149" s="5">
        <v>1</v>
      </c>
      <c r="Y149" s="5">
        <v>0</v>
      </c>
      <c r="Z149" s="5">
        <v>0</v>
      </c>
      <c r="AA149" s="5">
        <v>1</v>
      </c>
      <c r="AB149" s="5">
        <v>0</v>
      </c>
    </row>
    <row r="150" spans="1:28" ht="12.75">
      <c r="A150" s="5">
        <v>50</v>
      </c>
      <c r="B150" s="5">
        <v>0</v>
      </c>
      <c r="C150" s="5">
        <v>0</v>
      </c>
      <c r="D150" s="5">
        <v>1</v>
      </c>
      <c r="E150" s="5">
        <v>225</v>
      </c>
      <c r="F150" s="5">
        <f>ROUND(Source!AV145,O150)</f>
        <v>39054.03</v>
      </c>
      <c r="G150" s="5" t="s">
        <v>82</v>
      </c>
      <c r="H150" s="5" t="s">
        <v>83</v>
      </c>
      <c r="I150" s="5"/>
      <c r="J150" s="5"/>
      <c r="K150" s="5">
        <v>225</v>
      </c>
      <c r="L150" s="5">
        <v>4</v>
      </c>
      <c r="M150" s="5">
        <v>3</v>
      </c>
      <c r="N150" s="5" t="s">
        <v>3</v>
      </c>
      <c r="O150" s="5">
        <v>2</v>
      </c>
      <c r="P150" s="5">
        <f>ROUND(Source!EN145,O150)</f>
        <v>262443.05</v>
      </c>
      <c r="Q150" s="5"/>
      <c r="R150" s="5"/>
      <c r="S150" s="5"/>
      <c r="T150" s="5"/>
      <c r="U150" s="5"/>
      <c r="V150" s="5"/>
      <c r="W150" s="5">
        <v>39054.03</v>
      </c>
      <c r="X150" s="5">
        <v>1</v>
      </c>
      <c r="Y150" s="5">
        <v>39054.03</v>
      </c>
      <c r="Z150" s="5">
        <v>262443.05</v>
      </c>
      <c r="AA150" s="5">
        <v>1</v>
      </c>
      <c r="AB150" s="5">
        <v>262443.05</v>
      </c>
    </row>
    <row r="151" spans="1:28" ht="12.75">
      <c r="A151" s="5">
        <v>50</v>
      </c>
      <c r="B151" s="5">
        <v>0</v>
      </c>
      <c r="C151" s="5">
        <v>0</v>
      </c>
      <c r="D151" s="5">
        <v>1</v>
      </c>
      <c r="E151" s="5">
        <v>226</v>
      </c>
      <c r="F151" s="5">
        <f>ROUND(Source!AW145,O151)</f>
        <v>39054.03</v>
      </c>
      <c r="G151" s="5" t="s">
        <v>84</v>
      </c>
      <c r="H151" s="5" t="s">
        <v>85</v>
      </c>
      <c r="I151" s="5"/>
      <c r="J151" s="5"/>
      <c r="K151" s="5">
        <v>226</v>
      </c>
      <c r="L151" s="5">
        <v>5</v>
      </c>
      <c r="M151" s="5">
        <v>3</v>
      </c>
      <c r="N151" s="5" t="s">
        <v>3</v>
      </c>
      <c r="O151" s="5">
        <v>2</v>
      </c>
      <c r="P151" s="5">
        <f>ROUND(Source!EO145,O151)</f>
        <v>262443.05</v>
      </c>
      <c r="Q151" s="5"/>
      <c r="R151" s="5"/>
      <c r="S151" s="5"/>
      <c r="T151" s="5"/>
      <c r="U151" s="5"/>
      <c r="V151" s="5"/>
      <c r="W151" s="5">
        <v>39054.03</v>
      </c>
      <c r="X151" s="5">
        <v>1</v>
      </c>
      <c r="Y151" s="5">
        <v>39054.03</v>
      </c>
      <c r="Z151" s="5">
        <v>262443.05</v>
      </c>
      <c r="AA151" s="5">
        <v>1</v>
      </c>
      <c r="AB151" s="5">
        <v>262443.05</v>
      </c>
    </row>
    <row r="152" spans="1:28" ht="12.75">
      <c r="A152" s="5">
        <v>50</v>
      </c>
      <c r="B152" s="5">
        <v>0</v>
      </c>
      <c r="C152" s="5">
        <v>0</v>
      </c>
      <c r="D152" s="5">
        <v>1</v>
      </c>
      <c r="E152" s="5">
        <v>227</v>
      </c>
      <c r="F152" s="5">
        <f>ROUND(Source!AX145,O152)</f>
        <v>0</v>
      </c>
      <c r="G152" s="5" t="s">
        <v>86</v>
      </c>
      <c r="H152" s="5" t="s">
        <v>87</v>
      </c>
      <c r="I152" s="5"/>
      <c r="J152" s="5"/>
      <c r="K152" s="5">
        <v>227</v>
      </c>
      <c r="L152" s="5">
        <v>6</v>
      </c>
      <c r="M152" s="5">
        <v>3</v>
      </c>
      <c r="N152" s="5" t="s">
        <v>3</v>
      </c>
      <c r="O152" s="5">
        <v>2</v>
      </c>
      <c r="P152" s="5">
        <f>ROUND(Source!EP145,O152)</f>
        <v>0</v>
      </c>
      <c r="Q152" s="5"/>
      <c r="R152" s="5"/>
      <c r="S152" s="5"/>
      <c r="T152" s="5"/>
      <c r="U152" s="5"/>
      <c r="V152" s="5"/>
      <c r="W152" s="5">
        <v>0</v>
      </c>
      <c r="X152" s="5">
        <v>1</v>
      </c>
      <c r="Y152" s="5">
        <v>0</v>
      </c>
      <c r="Z152" s="5">
        <v>0</v>
      </c>
      <c r="AA152" s="5">
        <v>1</v>
      </c>
      <c r="AB152" s="5">
        <v>0</v>
      </c>
    </row>
    <row r="153" spans="1:28" ht="12.75">
      <c r="A153" s="5">
        <v>50</v>
      </c>
      <c r="B153" s="5">
        <v>0</v>
      </c>
      <c r="C153" s="5">
        <v>0</v>
      </c>
      <c r="D153" s="5">
        <v>1</v>
      </c>
      <c r="E153" s="5">
        <v>228</v>
      </c>
      <c r="F153" s="5">
        <f>ROUND(Source!AY145,O153)</f>
        <v>39054.03</v>
      </c>
      <c r="G153" s="5" t="s">
        <v>88</v>
      </c>
      <c r="H153" s="5" t="s">
        <v>89</v>
      </c>
      <c r="I153" s="5"/>
      <c r="J153" s="5"/>
      <c r="K153" s="5">
        <v>228</v>
      </c>
      <c r="L153" s="5">
        <v>7</v>
      </c>
      <c r="M153" s="5">
        <v>3</v>
      </c>
      <c r="N153" s="5" t="s">
        <v>3</v>
      </c>
      <c r="O153" s="5">
        <v>2</v>
      </c>
      <c r="P153" s="5">
        <f>ROUND(Source!EQ145,O153)</f>
        <v>262443.05</v>
      </c>
      <c r="Q153" s="5"/>
      <c r="R153" s="5"/>
      <c r="S153" s="5"/>
      <c r="T153" s="5"/>
      <c r="U153" s="5"/>
      <c r="V153" s="5"/>
      <c r="W153" s="5">
        <v>39054.03</v>
      </c>
      <c r="X153" s="5">
        <v>1</v>
      </c>
      <c r="Y153" s="5">
        <v>39054.03</v>
      </c>
      <c r="Z153" s="5">
        <v>262443.05</v>
      </c>
      <c r="AA153" s="5">
        <v>1</v>
      </c>
      <c r="AB153" s="5">
        <v>262443.05</v>
      </c>
    </row>
    <row r="154" spans="1:28" ht="12.75">
      <c r="A154" s="5">
        <v>50</v>
      </c>
      <c r="B154" s="5">
        <v>0</v>
      </c>
      <c r="C154" s="5">
        <v>0</v>
      </c>
      <c r="D154" s="5">
        <v>1</v>
      </c>
      <c r="E154" s="5">
        <v>216</v>
      </c>
      <c r="F154" s="5">
        <f>ROUND(Source!AP145,O154)</f>
        <v>0</v>
      </c>
      <c r="G154" s="5" t="s">
        <v>90</v>
      </c>
      <c r="H154" s="5" t="s">
        <v>91</v>
      </c>
      <c r="I154" s="5"/>
      <c r="J154" s="5"/>
      <c r="K154" s="5">
        <v>216</v>
      </c>
      <c r="L154" s="5">
        <v>8</v>
      </c>
      <c r="M154" s="5">
        <v>3</v>
      </c>
      <c r="N154" s="5" t="s">
        <v>3</v>
      </c>
      <c r="O154" s="5">
        <v>2</v>
      </c>
      <c r="P154" s="5">
        <f>ROUND(Source!EH145,O154)</f>
        <v>0</v>
      </c>
      <c r="Q154" s="5"/>
      <c r="R154" s="5"/>
      <c r="S154" s="5"/>
      <c r="T154" s="5"/>
      <c r="U154" s="5"/>
      <c r="V154" s="5"/>
      <c r="W154" s="5">
        <v>0</v>
      </c>
      <c r="X154" s="5">
        <v>1</v>
      </c>
      <c r="Y154" s="5">
        <v>0</v>
      </c>
      <c r="Z154" s="5">
        <v>0</v>
      </c>
      <c r="AA154" s="5">
        <v>1</v>
      </c>
      <c r="AB154" s="5">
        <v>0</v>
      </c>
    </row>
    <row r="155" spans="1:28" ht="12.75">
      <c r="A155" s="5">
        <v>50</v>
      </c>
      <c r="B155" s="5">
        <v>0</v>
      </c>
      <c r="C155" s="5">
        <v>0</v>
      </c>
      <c r="D155" s="5">
        <v>1</v>
      </c>
      <c r="E155" s="5">
        <v>223</v>
      </c>
      <c r="F155" s="5">
        <f>ROUND(Source!AQ145,O155)</f>
        <v>0</v>
      </c>
      <c r="G155" s="5" t="s">
        <v>92</v>
      </c>
      <c r="H155" s="5" t="s">
        <v>93</v>
      </c>
      <c r="I155" s="5"/>
      <c r="J155" s="5"/>
      <c r="K155" s="5">
        <v>223</v>
      </c>
      <c r="L155" s="5">
        <v>9</v>
      </c>
      <c r="M155" s="5">
        <v>3</v>
      </c>
      <c r="N155" s="5" t="s">
        <v>3</v>
      </c>
      <c r="O155" s="5">
        <v>2</v>
      </c>
      <c r="P155" s="5">
        <f>ROUND(Source!EI145,O155)</f>
        <v>0</v>
      </c>
      <c r="Q155" s="5"/>
      <c r="R155" s="5"/>
      <c r="S155" s="5"/>
      <c r="T155" s="5"/>
      <c r="U155" s="5"/>
      <c r="V155" s="5"/>
      <c r="W155" s="5">
        <v>0</v>
      </c>
      <c r="X155" s="5">
        <v>1</v>
      </c>
      <c r="Y155" s="5">
        <v>0</v>
      </c>
      <c r="Z155" s="5">
        <v>0</v>
      </c>
      <c r="AA155" s="5">
        <v>1</v>
      </c>
      <c r="AB155" s="5">
        <v>0</v>
      </c>
    </row>
    <row r="156" spans="1:28" ht="12.75">
      <c r="A156" s="5">
        <v>50</v>
      </c>
      <c r="B156" s="5">
        <v>0</v>
      </c>
      <c r="C156" s="5">
        <v>0</v>
      </c>
      <c r="D156" s="5">
        <v>1</v>
      </c>
      <c r="E156" s="5">
        <v>229</v>
      </c>
      <c r="F156" s="5">
        <f>ROUND(Source!AZ145,O156)</f>
        <v>0</v>
      </c>
      <c r="G156" s="5" t="s">
        <v>94</v>
      </c>
      <c r="H156" s="5" t="s">
        <v>95</v>
      </c>
      <c r="I156" s="5"/>
      <c r="J156" s="5"/>
      <c r="K156" s="5">
        <v>229</v>
      </c>
      <c r="L156" s="5">
        <v>10</v>
      </c>
      <c r="M156" s="5">
        <v>3</v>
      </c>
      <c r="N156" s="5" t="s">
        <v>3</v>
      </c>
      <c r="O156" s="5">
        <v>2</v>
      </c>
      <c r="P156" s="5">
        <f>ROUND(Source!ER145,O156)</f>
        <v>0</v>
      </c>
      <c r="Q156" s="5"/>
      <c r="R156" s="5"/>
      <c r="S156" s="5"/>
      <c r="T156" s="5"/>
      <c r="U156" s="5"/>
      <c r="V156" s="5"/>
      <c r="W156" s="5">
        <v>0</v>
      </c>
      <c r="X156" s="5">
        <v>1</v>
      </c>
      <c r="Y156" s="5">
        <v>0</v>
      </c>
      <c r="Z156" s="5">
        <v>0</v>
      </c>
      <c r="AA156" s="5">
        <v>1</v>
      </c>
      <c r="AB156" s="5">
        <v>0</v>
      </c>
    </row>
    <row r="157" spans="1:28" ht="12.75">
      <c r="A157" s="5">
        <v>50</v>
      </c>
      <c r="B157" s="5">
        <v>0</v>
      </c>
      <c r="C157" s="5">
        <v>0</v>
      </c>
      <c r="D157" s="5">
        <v>1</v>
      </c>
      <c r="E157" s="5">
        <v>203</v>
      </c>
      <c r="F157" s="5">
        <f>ROUND(Source!Q145,O157)</f>
        <v>150.61</v>
      </c>
      <c r="G157" s="5" t="s">
        <v>96</v>
      </c>
      <c r="H157" s="5" t="s">
        <v>97</v>
      </c>
      <c r="I157" s="5"/>
      <c r="J157" s="5"/>
      <c r="K157" s="5">
        <v>203</v>
      </c>
      <c r="L157" s="5">
        <v>11</v>
      </c>
      <c r="M157" s="5">
        <v>3</v>
      </c>
      <c r="N157" s="5" t="s">
        <v>3</v>
      </c>
      <c r="O157" s="5">
        <v>2</v>
      </c>
      <c r="P157" s="5">
        <f>ROUND(Source!DI145,O157)</f>
        <v>1994.53</v>
      </c>
      <c r="Q157" s="5"/>
      <c r="R157" s="5"/>
      <c r="S157" s="5"/>
      <c r="T157" s="5"/>
      <c r="U157" s="5"/>
      <c r="V157" s="5"/>
      <c r="W157" s="5">
        <v>150.61</v>
      </c>
      <c r="X157" s="5">
        <v>1</v>
      </c>
      <c r="Y157" s="5">
        <v>150.61</v>
      </c>
      <c r="Z157" s="5">
        <v>1994.53</v>
      </c>
      <c r="AA157" s="5">
        <v>1</v>
      </c>
      <c r="AB157" s="5">
        <v>1994.53</v>
      </c>
    </row>
    <row r="158" spans="1:28" ht="12.75">
      <c r="A158" s="5">
        <v>50</v>
      </c>
      <c r="B158" s="5">
        <v>0</v>
      </c>
      <c r="C158" s="5">
        <v>0</v>
      </c>
      <c r="D158" s="5">
        <v>1</v>
      </c>
      <c r="E158" s="5">
        <v>231</v>
      </c>
      <c r="F158" s="5">
        <f>ROUND(Source!BB145,O158)</f>
        <v>0</v>
      </c>
      <c r="G158" s="5" t="s">
        <v>98</v>
      </c>
      <c r="H158" s="5" t="s">
        <v>99</v>
      </c>
      <c r="I158" s="5"/>
      <c r="J158" s="5"/>
      <c r="K158" s="5">
        <v>231</v>
      </c>
      <c r="L158" s="5">
        <v>12</v>
      </c>
      <c r="M158" s="5">
        <v>3</v>
      </c>
      <c r="N158" s="5" t="s">
        <v>3</v>
      </c>
      <c r="O158" s="5">
        <v>2</v>
      </c>
      <c r="P158" s="5">
        <f>ROUND(Source!ET145,O158)</f>
        <v>0</v>
      </c>
      <c r="Q158" s="5"/>
      <c r="R158" s="5"/>
      <c r="S158" s="5"/>
      <c r="T158" s="5"/>
      <c r="U158" s="5"/>
      <c r="V158" s="5"/>
      <c r="W158" s="5">
        <v>0</v>
      </c>
      <c r="X158" s="5">
        <v>1</v>
      </c>
      <c r="Y158" s="5">
        <v>0</v>
      </c>
      <c r="Z158" s="5">
        <v>0</v>
      </c>
      <c r="AA158" s="5">
        <v>1</v>
      </c>
      <c r="AB158" s="5">
        <v>0</v>
      </c>
    </row>
    <row r="159" spans="1:28" ht="12.75">
      <c r="A159" s="5">
        <v>50</v>
      </c>
      <c r="B159" s="5">
        <v>0</v>
      </c>
      <c r="C159" s="5">
        <v>0</v>
      </c>
      <c r="D159" s="5">
        <v>1</v>
      </c>
      <c r="E159" s="5">
        <v>204</v>
      </c>
      <c r="F159" s="5">
        <f>ROUND(Source!R145,O159)</f>
        <v>32.18</v>
      </c>
      <c r="G159" s="5" t="s">
        <v>100</v>
      </c>
      <c r="H159" s="5" t="s">
        <v>101</v>
      </c>
      <c r="I159" s="5"/>
      <c r="J159" s="5"/>
      <c r="K159" s="5">
        <v>204</v>
      </c>
      <c r="L159" s="5">
        <v>13</v>
      </c>
      <c r="M159" s="5">
        <v>3</v>
      </c>
      <c r="N159" s="5" t="s">
        <v>3</v>
      </c>
      <c r="O159" s="5">
        <v>2</v>
      </c>
      <c r="P159" s="5">
        <f>ROUND(Source!DJ145,O159)</f>
        <v>1201.8</v>
      </c>
      <c r="Q159" s="5"/>
      <c r="R159" s="5"/>
      <c r="S159" s="5"/>
      <c r="T159" s="5"/>
      <c r="U159" s="5"/>
      <c r="V159" s="5"/>
      <c r="W159" s="5">
        <v>32.18</v>
      </c>
      <c r="X159" s="5">
        <v>1</v>
      </c>
      <c r="Y159" s="5">
        <v>32.18</v>
      </c>
      <c r="Z159" s="5">
        <v>1201.8</v>
      </c>
      <c r="AA159" s="5">
        <v>1</v>
      </c>
      <c r="AB159" s="5">
        <v>1201.8</v>
      </c>
    </row>
    <row r="160" spans="1:28" ht="12.75">
      <c r="A160" s="5">
        <v>50</v>
      </c>
      <c r="B160" s="5">
        <v>0</v>
      </c>
      <c r="C160" s="5">
        <v>0</v>
      </c>
      <c r="D160" s="5">
        <v>1</v>
      </c>
      <c r="E160" s="5">
        <v>205</v>
      </c>
      <c r="F160" s="5">
        <f>ROUND(Source!S145,O160)</f>
        <v>4134.84</v>
      </c>
      <c r="G160" s="5" t="s">
        <v>102</v>
      </c>
      <c r="H160" s="5" t="s">
        <v>103</v>
      </c>
      <c r="I160" s="5"/>
      <c r="J160" s="5"/>
      <c r="K160" s="5">
        <v>205</v>
      </c>
      <c r="L160" s="5">
        <v>14</v>
      </c>
      <c r="M160" s="5">
        <v>3</v>
      </c>
      <c r="N160" s="5" t="s">
        <v>3</v>
      </c>
      <c r="O160" s="5">
        <v>2</v>
      </c>
      <c r="P160" s="5">
        <f>ROUND(Source!DK145,O160)</f>
        <v>154395.18</v>
      </c>
      <c r="Q160" s="5"/>
      <c r="R160" s="5"/>
      <c r="S160" s="5"/>
      <c r="T160" s="5"/>
      <c r="U160" s="5"/>
      <c r="V160" s="5"/>
      <c r="W160" s="5">
        <v>4134.84</v>
      </c>
      <c r="X160" s="5">
        <v>1</v>
      </c>
      <c r="Y160" s="5">
        <v>4134.84</v>
      </c>
      <c r="Z160" s="5">
        <v>154395.18000000002</v>
      </c>
      <c r="AA160" s="5">
        <v>1</v>
      </c>
      <c r="AB160" s="5">
        <v>154395.18000000002</v>
      </c>
    </row>
    <row r="161" spans="1:28" ht="12.75">
      <c r="A161" s="5">
        <v>50</v>
      </c>
      <c r="B161" s="5">
        <v>0</v>
      </c>
      <c r="C161" s="5">
        <v>0</v>
      </c>
      <c r="D161" s="5">
        <v>1</v>
      </c>
      <c r="E161" s="5">
        <v>232</v>
      </c>
      <c r="F161" s="5">
        <f>ROUND(Source!BC145,O161)</f>
        <v>0</v>
      </c>
      <c r="G161" s="5" t="s">
        <v>104</v>
      </c>
      <c r="H161" s="5" t="s">
        <v>105</v>
      </c>
      <c r="I161" s="5"/>
      <c r="J161" s="5"/>
      <c r="K161" s="5">
        <v>232</v>
      </c>
      <c r="L161" s="5">
        <v>15</v>
      </c>
      <c r="M161" s="5">
        <v>3</v>
      </c>
      <c r="N161" s="5" t="s">
        <v>3</v>
      </c>
      <c r="O161" s="5">
        <v>2</v>
      </c>
      <c r="P161" s="5">
        <f>ROUND(Source!EU145,O161)</f>
        <v>0</v>
      </c>
      <c r="Q161" s="5"/>
      <c r="R161" s="5"/>
      <c r="S161" s="5"/>
      <c r="T161" s="5"/>
      <c r="U161" s="5"/>
      <c r="V161" s="5"/>
      <c r="W161" s="5">
        <v>0</v>
      </c>
      <c r="X161" s="5">
        <v>1</v>
      </c>
      <c r="Y161" s="5">
        <v>0</v>
      </c>
      <c r="Z161" s="5">
        <v>0</v>
      </c>
      <c r="AA161" s="5">
        <v>1</v>
      </c>
      <c r="AB161" s="5">
        <v>0</v>
      </c>
    </row>
    <row r="162" spans="1:28" ht="12.75">
      <c r="A162" s="5">
        <v>50</v>
      </c>
      <c r="B162" s="5">
        <v>0</v>
      </c>
      <c r="C162" s="5">
        <v>0</v>
      </c>
      <c r="D162" s="5">
        <v>1</v>
      </c>
      <c r="E162" s="5">
        <v>214</v>
      </c>
      <c r="F162" s="5">
        <f>ROUND(Source!AS145,O162)</f>
        <v>49456.22</v>
      </c>
      <c r="G162" s="5" t="s">
        <v>106</v>
      </c>
      <c r="H162" s="5" t="s">
        <v>107</v>
      </c>
      <c r="I162" s="5"/>
      <c r="J162" s="5"/>
      <c r="K162" s="5">
        <v>214</v>
      </c>
      <c r="L162" s="5">
        <v>16</v>
      </c>
      <c r="M162" s="5">
        <v>3</v>
      </c>
      <c r="N162" s="5" t="s">
        <v>3</v>
      </c>
      <c r="O162" s="5">
        <v>2</v>
      </c>
      <c r="P162" s="5">
        <f>ROUND(Source!EK145,O162)</f>
        <v>641418.27</v>
      </c>
      <c r="Q162" s="5"/>
      <c r="R162" s="5"/>
      <c r="S162" s="5"/>
      <c r="T162" s="5"/>
      <c r="U162" s="5"/>
      <c r="V162" s="5"/>
      <c r="W162" s="5">
        <v>49456.22</v>
      </c>
      <c r="X162" s="5">
        <v>1</v>
      </c>
      <c r="Y162" s="5">
        <v>49456.22</v>
      </c>
      <c r="Z162" s="5">
        <v>641418.27</v>
      </c>
      <c r="AA162" s="5">
        <v>1</v>
      </c>
      <c r="AB162" s="5">
        <v>641418.27</v>
      </c>
    </row>
    <row r="163" spans="1:28" ht="12.75">
      <c r="A163" s="5">
        <v>50</v>
      </c>
      <c r="B163" s="5">
        <v>0</v>
      </c>
      <c r="C163" s="5">
        <v>0</v>
      </c>
      <c r="D163" s="5">
        <v>1</v>
      </c>
      <c r="E163" s="5">
        <v>215</v>
      </c>
      <c r="F163" s="5">
        <f>ROUND(Source!AT145,O163)</f>
        <v>0</v>
      </c>
      <c r="G163" s="5" t="s">
        <v>108</v>
      </c>
      <c r="H163" s="5" t="s">
        <v>109</v>
      </c>
      <c r="I163" s="5"/>
      <c r="J163" s="5"/>
      <c r="K163" s="5">
        <v>215</v>
      </c>
      <c r="L163" s="5">
        <v>17</v>
      </c>
      <c r="M163" s="5">
        <v>3</v>
      </c>
      <c r="N163" s="5" t="s">
        <v>3</v>
      </c>
      <c r="O163" s="5">
        <v>2</v>
      </c>
      <c r="P163" s="5">
        <f>ROUND(Source!EL145,O163)</f>
        <v>0</v>
      </c>
      <c r="Q163" s="5"/>
      <c r="R163" s="5"/>
      <c r="S163" s="5"/>
      <c r="T163" s="5"/>
      <c r="U163" s="5"/>
      <c r="V163" s="5"/>
      <c r="W163" s="5">
        <v>0</v>
      </c>
      <c r="X163" s="5">
        <v>1</v>
      </c>
      <c r="Y163" s="5">
        <v>0</v>
      </c>
      <c r="Z163" s="5">
        <v>0</v>
      </c>
      <c r="AA163" s="5">
        <v>1</v>
      </c>
      <c r="AB163" s="5">
        <v>0</v>
      </c>
    </row>
    <row r="164" spans="1:28" ht="12.75">
      <c r="A164" s="5">
        <v>50</v>
      </c>
      <c r="B164" s="5">
        <v>0</v>
      </c>
      <c r="C164" s="5">
        <v>0</v>
      </c>
      <c r="D164" s="5">
        <v>1</v>
      </c>
      <c r="E164" s="5">
        <v>217</v>
      </c>
      <c r="F164" s="5">
        <f>ROUND(Source!AU145,O164)</f>
        <v>0</v>
      </c>
      <c r="G164" s="5" t="s">
        <v>110</v>
      </c>
      <c r="H164" s="5" t="s">
        <v>111</v>
      </c>
      <c r="I164" s="5"/>
      <c r="J164" s="5"/>
      <c r="K164" s="5">
        <v>217</v>
      </c>
      <c r="L164" s="5">
        <v>18</v>
      </c>
      <c r="M164" s="5">
        <v>3</v>
      </c>
      <c r="N164" s="5" t="s">
        <v>3</v>
      </c>
      <c r="O164" s="5">
        <v>2</v>
      </c>
      <c r="P164" s="5">
        <f>ROUND(Source!EM145,O164)</f>
        <v>0</v>
      </c>
      <c r="Q164" s="5"/>
      <c r="R164" s="5"/>
      <c r="S164" s="5"/>
      <c r="T164" s="5"/>
      <c r="U164" s="5"/>
      <c r="V164" s="5"/>
      <c r="W164" s="5">
        <v>0</v>
      </c>
      <c r="X164" s="5">
        <v>1</v>
      </c>
      <c r="Y164" s="5">
        <v>0</v>
      </c>
      <c r="Z164" s="5">
        <v>0</v>
      </c>
      <c r="AA164" s="5">
        <v>1</v>
      </c>
      <c r="AB164" s="5">
        <v>0</v>
      </c>
    </row>
    <row r="165" spans="1:28" ht="12.75">
      <c r="A165" s="5">
        <v>50</v>
      </c>
      <c r="B165" s="5">
        <v>0</v>
      </c>
      <c r="C165" s="5">
        <v>0</v>
      </c>
      <c r="D165" s="5">
        <v>1</v>
      </c>
      <c r="E165" s="5">
        <v>230</v>
      </c>
      <c r="F165" s="5">
        <f>ROUND(Source!BA145,O165)</f>
        <v>0</v>
      </c>
      <c r="G165" s="5" t="s">
        <v>112</v>
      </c>
      <c r="H165" s="5" t="s">
        <v>113</v>
      </c>
      <c r="I165" s="5"/>
      <c r="J165" s="5"/>
      <c r="K165" s="5">
        <v>230</v>
      </c>
      <c r="L165" s="5">
        <v>19</v>
      </c>
      <c r="M165" s="5">
        <v>3</v>
      </c>
      <c r="N165" s="5" t="s">
        <v>3</v>
      </c>
      <c r="O165" s="5">
        <v>2</v>
      </c>
      <c r="P165" s="5">
        <f>ROUND(Source!ES145,O165)</f>
        <v>0</v>
      </c>
      <c r="Q165" s="5"/>
      <c r="R165" s="5"/>
      <c r="S165" s="5"/>
      <c r="T165" s="5"/>
      <c r="U165" s="5"/>
      <c r="V165" s="5"/>
      <c r="W165" s="5">
        <v>0</v>
      </c>
      <c r="X165" s="5">
        <v>1</v>
      </c>
      <c r="Y165" s="5">
        <v>0</v>
      </c>
      <c r="Z165" s="5">
        <v>0</v>
      </c>
      <c r="AA165" s="5">
        <v>1</v>
      </c>
      <c r="AB165" s="5">
        <v>0</v>
      </c>
    </row>
    <row r="166" spans="1:28" ht="12.75">
      <c r="A166" s="5">
        <v>50</v>
      </c>
      <c r="B166" s="5">
        <v>0</v>
      </c>
      <c r="C166" s="5">
        <v>0</v>
      </c>
      <c r="D166" s="5">
        <v>1</v>
      </c>
      <c r="E166" s="5">
        <v>206</v>
      </c>
      <c r="F166" s="5">
        <f>ROUND(Source!T145,O166)</f>
        <v>0</v>
      </c>
      <c r="G166" s="5" t="s">
        <v>114</v>
      </c>
      <c r="H166" s="5" t="s">
        <v>115</v>
      </c>
      <c r="I166" s="5"/>
      <c r="J166" s="5"/>
      <c r="K166" s="5">
        <v>206</v>
      </c>
      <c r="L166" s="5">
        <v>20</v>
      </c>
      <c r="M166" s="5">
        <v>3</v>
      </c>
      <c r="N166" s="5" t="s">
        <v>3</v>
      </c>
      <c r="O166" s="5">
        <v>2</v>
      </c>
      <c r="P166" s="5">
        <f>ROUND(Source!DL145,O166)</f>
        <v>0</v>
      </c>
      <c r="Q166" s="5"/>
      <c r="R166" s="5"/>
      <c r="S166" s="5"/>
      <c r="T166" s="5"/>
      <c r="U166" s="5"/>
      <c r="V166" s="5"/>
      <c r="W166" s="5">
        <v>0</v>
      </c>
      <c r="X166" s="5">
        <v>1</v>
      </c>
      <c r="Y166" s="5">
        <v>0</v>
      </c>
      <c r="Z166" s="5">
        <v>0</v>
      </c>
      <c r="AA166" s="5">
        <v>1</v>
      </c>
      <c r="AB166" s="5">
        <v>0</v>
      </c>
    </row>
    <row r="167" spans="1:28" ht="12.75">
      <c r="A167" s="5">
        <v>50</v>
      </c>
      <c r="B167" s="5">
        <v>0</v>
      </c>
      <c r="C167" s="5">
        <v>0</v>
      </c>
      <c r="D167" s="5">
        <v>1</v>
      </c>
      <c r="E167" s="5">
        <v>207</v>
      </c>
      <c r="F167" s="5">
        <f>Source!U145</f>
        <v>452.9579708</v>
      </c>
      <c r="G167" s="5" t="s">
        <v>116</v>
      </c>
      <c r="H167" s="5" t="s">
        <v>117</v>
      </c>
      <c r="I167" s="5"/>
      <c r="J167" s="5"/>
      <c r="K167" s="5">
        <v>207</v>
      </c>
      <c r="L167" s="5">
        <v>21</v>
      </c>
      <c r="M167" s="5">
        <v>3</v>
      </c>
      <c r="N167" s="5" t="s">
        <v>3</v>
      </c>
      <c r="O167" s="5">
        <v>-1</v>
      </c>
      <c r="P167" s="5">
        <f>Source!DM145</f>
        <v>452.9579708</v>
      </c>
      <c r="Q167" s="5"/>
      <c r="R167" s="5"/>
      <c r="S167" s="5"/>
      <c r="T167" s="5"/>
      <c r="U167" s="5"/>
      <c r="V167" s="5"/>
      <c r="W167" s="5">
        <v>452.9579708</v>
      </c>
      <c r="X167" s="5">
        <v>1</v>
      </c>
      <c r="Y167" s="5">
        <v>452.9579708</v>
      </c>
      <c r="Z167" s="5">
        <v>452.9579708</v>
      </c>
      <c r="AA167" s="5">
        <v>1</v>
      </c>
      <c r="AB167" s="5">
        <v>452.9579708</v>
      </c>
    </row>
    <row r="168" spans="1:28" ht="12.75">
      <c r="A168" s="5">
        <v>50</v>
      </c>
      <c r="B168" s="5">
        <v>0</v>
      </c>
      <c r="C168" s="5">
        <v>0</v>
      </c>
      <c r="D168" s="5">
        <v>1</v>
      </c>
      <c r="E168" s="5">
        <v>208</v>
      </c>
      <c r="F168" s="5">
        <f>Source!V145</f>
        <v>2.65639</v>
      </c>
      <c r="G168" s="5" t="s">
        <v>118</v>
      </c>
      <c r="H168" s="5" t="s">
        <v>119</v>
      </c>
      <c r="I168" s="5"/>
      <c r="J168" s="5"/>
      <c r="K168" s="5">
        <v>208</v>
      </c>
      <c r="L168" s="5">
        <v>22</v>
      </c>
      <c r="M168" s="5">
        <v>3</v>
      </c>
      <c r="N168" s="5" t="s">
        <v>3</v>
      </c>
      <c r="O168" s="5">
        <v>-1</v>
      </c>
      <c r="P168" s="5">
        <f>Source!DN145</f>
        <v>2.65639</v>
      </c>
      <c r="Q168" s="5"/>
      <c r="R168" s="5"/>
      <c r="S168" s="5"/>
      <c r="T168" s="5"/>
      <c r="U168" s="5"/>
      <c r="V168" s="5"/>
      <c r="W168" s="5">
        <v>2.65639</v>
      </c>
      <c r="X168" s="5">
        <v>1</v>
      </c>
      <c r="Y168" s="5">
        <v>2.65639</v>
      </c>
      <c r="Z168" s="5">
        <v>2.65639</v>
      </c>
      <c r="AA168" s="5">
        <v>1</v>
      </c>
      <c r="AB168" s="5">
        <v>2.65639</v>
      </c>
    </row>
    <row r="169" spans="1:28" ht="12.75">
      <c r="A169" s="5">
        <v>50</v>
      </c>
      <c r="B169" s="5">
        <v>0</v>
      </c>
      <c r="C169" s="5">
        <v>0</v>
      </c>
      <c r="D169" s="5">
        <v>1</v>
      </c>
      <c r="E169" s="5">
        <v>209</v>
      </c>
      <c r="F169" s="5">
        <f>ROUND(Source!W145,O169)</f>
        <v>0</v>
      </c>
      <c r="G169" s="5" t="s">
        <v>120</v>
      </c>
      <c r="H169" s="5" t="s">
        <v>121</v>
      </c>
      <c r="I169" s="5"/>
      <c r="J169" s="5"/>
      <c r="K169" s="5">
        <v>209</v>
      </c>
      <c r="L169" s="5">
        <v>23</v>
      </c>
      <c r="M169" s="5">
        <v>3</v>
      </c>
      <c r="N169" s="5" t="s">
        <v>3</v>
      </c>
      <c r="O169" s="5">
        <v>2</v>
      </c>
      <c r="P169" s="5">
        <f>ROUND(Source!DO145,O169)</f>
        <v>0</v>
      </c>
      <c r="Q169" s="5"/>
      <c r="R169" s="5"/>
      <c r="S169" s="5"/>
      <c r="T169" s="5"/>
      <c r="U169" s="5"/>
      <c r="V169" s="5"/>
      <c r="W169" s="5">
        <v>0</v>
      </c>
      <c r="X169" s="5">
        <v>1</v>
      </c>
      <c r="Y169" s="5">
        <v>0</v>
      </c>
      <c r="Z169" s="5">
        <v>0</v>
      </c>
      <c r="AA169" s="5">
        <v>1</v>
      </c>
      <c r="AB169" s="5">
        <v>0</v>
      </c>
    </row>
    <row r="170" spans="1:28" ht="12.75">
      <c r="A170" s="5">
        <v>50</v>
      </c>
      <c r="B170" s="5">
        <v>0</v>
      </c>
      <c r="C170" s="5">
        <v>0</v>
      </c>
      <c r="D170" s="5">
        <v>1</v>
      </c>
      <c r="E170" s="5">
        <v>233</v>
      </c>
      <c r="F170" s="5">
        <f>ROUND(Source!BD145,O170)</f>
        <v>241.25</v>
      </c>
      <c r="G170" s="5" t="s">
        <v>122</v>
      </c>
      <c r="H170" s="5" t="s">
        <v>123</v>
      </c>
      <c r="I170" s="5"/>
      <c r="J170" s="5"/>
      <c r="K170" s="5">
        <v>233</v>
      </c>
      <c r="L170" s="5">
        <v>24</v>
      </c>
      <c r="M170" s="5">
        <v>3</v>
      </c>
      <c r="N170" s="5" t="s">
        <v>3</v>
      </c>
      <c r="O170" s="5">
        <v>2</v>
      </c>
      <c r="P170" s="5">
        <f>ROUND(Source!EV145,O170)</f>
        <v>3194.08</v>
      </c>
      <c r="Q170" s="5"/>
      <c r="R170" s="5"/>
      <c r="S170" s="5"/>
      <c r="T170" s="5"/>
      <c r="U170" s="5"/>
      <c r="V170" s="5"/>
      <c r="W170" s="5">
        <v>241.25</v>
      </c>
      <c r="X170" s="5">
        <v>1</v>
      </c>
      <c r="Y170" s="5">
        <v>241.25</v>
      </c>
      <c r="Z170" s="5">
        <v>3194.08</v>
      </c>
      <c r="AA170" s="5">
        <v>1</v>
      </c>
      <c r="AB170" s="5">
        <v>3194.08</v>
      </c>
    </row>
    <row r="171" spans="1:28" ht="12.75">
      <c r="A171" s="5">
        <v>50</v>
      </c>
      <c r="B171" s="5">
        <v>0</v>
      </c>
      <c r="C171" s="5">
        <v>0</v>
      </c>
      <c r="D171" s="5">
        <v>1</v>
      </c>
      <c r="E171" s="5">
        <v>210</v>
      </c>
      <c r="F171" s="5">
        <f>ROUND(Source!X145,O171)</f>
        <v>3847.36</v>
      </c>
      <c r="G171" s="5" t="s">
        <v>124</v>
      </c>
      <c r="H171" s="5" t="s">
        <v>125</v>
      </c>
      <c r="I171" s="5"/>
      <c r="J171" s="5"/>
      <c r="K171" s="5">
        <v>210</v>
      </c>
      <c r="L171" s="5">
        <v>25</v>
      </c>
      <c r="M171" s="5">
        <v>3</v>
      </c>
      <c r="N171" s="5" t="s">
        <v>3</v>
      </c>
      <c r="O171" s="5">
        <v>2</v>
      </c>
      <c r="P171" s="5">
        <f>ROUND(Source!DP145,O171)</f>
        <v>143660.9</v>
      </c>
      <c r="Q171" s="5"/>
      <c r="R171" s="5"/>
      <c r="S171" s="5"/>
      <c r="T171" s="5"/>
      <c r="U171" s="5"/>
      <c r="V171" s="5"/>
      <c r="W171" s="5">
        <v>3847.36</v>
      </c>
      <c r="X171" s="5">
        <v>1</v>
      </c>
      <c r="Y171" s="5">
        <v>3847.36</v>
      </c>
      <c r="Z171" s="5">
        <v>143660.9</v>
      </c>
      <c r="AA171" s="5">
        <v>1</v>
      </c>
      <c r="AB171" s="5">
        <v>143660.9</v>
      </c>
    </row>
    <row r="172" spans="1:28" ht="12.75">
      <c r="A172" s="5">
        <v>50</v>
      </c>
      <c r="B172" s="5">
        <v>0</v>
      </c>
      <c r="C172" s="5">
        <v>0</v>
      </c>
      <c r="D172" s="5">
        <v>1</v>
      </c>
      <c r="E172" s="5">
        <v>211</v>
      </c>
      <c r="F172" s="5">
        <f>ROUND(Source!Y145,O172)</f>
        <v>2028.13</v>
      </c>
      <c r="G172" s="5" t="s">
        <v>126</v>
      </c>
      <c r="H172" s="5" t="s">
        <v>127</v>
      </c>
      <c r="I172" s="5"/>
      <c r="J172" s="5"/>
      <c r="K172" s="5">
        <v>211</v>
      </c>
      <c r="L172" s="5">
        <v>26</v>
      </c>
      <c r="M172" s="5">
        <v>3</v>
      </c>
      <c r="N172" s="5" t="s">
        <v>3</v>
      </c>
      <c r="O172" s="5">
        <v>2</v>
      </c>
      <c r="P172" s="5">
        <f>ROUND(Source!DQ145,O172)</f>
        <v>75730.53</v>
      </c>
      <c r="Q172" s="5"/>
      <c r="R172" s="5"/>
      <c r="S172" s="5"/>
      <c r="T172" s="5"/>
      <c r="U172" s="5"/>
      <c r="V172" s="5"/>
      <c r="W172" s="5">
        <v>2028.13</v>
      </c>
      <c r="X172" s="5">
        <v>1</v>
      </c>
      <c r="Y172" s="5">
        <v>2028.13</v>
      </c>
      <c r="Z172" s="5">
        <v>75730.53</v>
      </c>
      <c r="AA172" s="5">
        <v>1</v>
      </c>
      <c r="AB172" s="5">
        <v>75730.53</v>
      </c>
    </row>
    <row r="173" spans="1:28" ht="12.75">
      <c r="A173" s="5">
        <v>50</v>
      </c>
      <c r="B173" s="5">
        <v>0</v>
      </c>
      <c r="C173" s="5">
        <v>0</v>
      </c>
      <c r="D173" s="5">
        <v>1</v>
      </c>
      <c r="E173" s="5">
        <v>0</v>
      </c>
      <c r="F173" s="5">
        <f>ROUND(Source!AR145,O173)</f>
        <v>49456.22</v>
      </c>
      <c r="G173" s="5" t="s">
        <v>128</v>
      </c>
      <c r="H173" s="5" t="s">
        <v>129</v>
      </c>
      <c r="I173" s="5"/>
      <c r="J173" s="5"/>
      <c r="K173" s="5">
        <v>224</v>
      </c>
      <c r="L173" s="5">
        <v>27</v>
      </c>
      <c r="M173" s="5">
        <v>3</v>
      </c>
      <c r="N173" s="5" t="s">
        <v>3</v>
      </c>
      <c r="O173" s="5">
        <v>2</v>
      </c>
      <c r="P173" s="5">
        <f>ROUND(Source!EJ145,O173)</f>
        <v>641418.27</v>
      </c>
      <c r="Q173" s="5"/>
      <c r="R173" s="5"/>
      <c r="S173" s="5"/>
      <c r="T173" s="5"/>
      <c r="U173" s="5"/>
      <c r="V173" s="5"/>
      <c r="W173" s="5">
        <v>49456.219999999994</v>
      </c>
      <c r="X173" s="5">
        <v>1</v>
      </c>
      <c r="Y173" s="5">
        <v>49456.219999999994</v>
      </c>
      <c r="Z173" s="5">
        <v>641418.27</v>
      </c>
      <c r="AA173" s="5">
        <v>1</v>
      </c>
      <c r="AB173" s="5">
        <v>641418.27</v>
      </c>
    </row>
    <row r="174" spans="1:28" ht="12.75">
      <c r="A174" s="5">
        <v>50</v>
      </c>
      <c r="B174" s="5">
        <v>0</v>
      </c>
      <c r="C174" s="5">
        <v>0</v>
      </c>
      <c r="D174" s="5">
        <v>2</v>
      </c>
      <c r="E174" s="5">
        <v>0</v>
      </c>
      <c r="F174" s="5">
        <f>ROUND(F173,O174)</f>
        <v>49456.22</v>
      </c>
      <c r="G174" s="5" t="s">
        <v>152</v>
      </c>
      <c r="H174" s="5" t="s">
        <v>128</v>
      </c>
      <c r="I174" s="5"/>
      <c r="J174" s="5"/>
      <c r="K174" s="5">
        <v>212</v>
      </c>
      <c r="L174" s="5">
        <v>28</v>
      </c>
      <c r="M174" s="5">
        <v>3</v>
      </c>
      <c r="N174" s="5" t="s">
        <v>3</v>
      </c>
      <c r="O174" s="5">
        <v>2</v>
      </c>
      <c r="P174" s="5">
        <f>ROUND(P173,O174)</f>
        <v>641418.27</v>
      </c>
      <c r="Q174" s="5"/>
      <c r="R174" s="5"/>
      <c r="S174" s="5"/>
      <c r="T174" s="5"/>
      <c r="U174" s="5"/>
      <c r="V174" s="5"/>
      <c r="W174" s="5">
        <v>49456.22</v>
      </c>
      <c r="X174" s="5">
        <v>1</v>
      </c>
      <c r="Y174" s="5">
        <v>49456.22</v>
      </c>
      <c r="Z174" s="5">
        <v>641418.27</v>
      </c>
      <c r="AA174" s="5">
        <v>1</v>
      </c>
      <c r="AB174" s="5">
        <v>641418.27</v>
      </c>
    </row>
    <row r="175" spans="1:28" ht="12.75">
      <c r="A175" s="5">
        <v>50</v>
      </c>
      <c r="B175" s="5">
        <v>0</v>
      </c>
      <c r="C175" s="5">
        <v>0</v>
      </c>
      <c r="D175" s="5">
        <v>2</v>
      </c>
      <c r="E175" s="5">
        <v>0</v>
      </c>
      <c r="F175" s="5">
        <f>ROUND(F174*0.2,O175)</f>
        <v>9891.24</v>
      </c>
      <c r="G175" s="5" t="s">
        <v>148</v>
      </c>
      <c r="H175" s="5" t="s">
        <v>153</v>
      </c>
      <c r="I175" s="5"/>
      <c r="J175" s="5"/>
      <c r="K175" s="5">
        <v>212</v>
      </c>
      <c r="L175" s="5">
        <v>31</v>
      </c>
      <c r="M175" s="5">
        <v>3</v>
      </c>
      <c r="N175" s="5" t="s">
        <v>3</v>
      </c>
      <c r="O175" s="5">
        <v>2</v>
      </c>
      <c r="P175" s="5">
        <f>ROUND(P174*0.2,O175)</f>
        <v>128283.65</v>
      </c>
      <c r="Q175" s="5"/>
      <c r="R175" s="5"/>
      <c r="S175" s="5"/>
      <c r="T175" s="5"/>
      <c r="U175" s="5"/>
      <c r="V175" s="5"/>
      <c r="W175" s="5">
        <v>9891.24</v>
      </c>
      <c r="X175" s="5">
        <v>1</v>
      </c>
      <c r="Y175" s="5">
        <v>9891.24</v>
      </c>
      <c r="Z175" s="5">
        <v>128283.65</v>
      </c>
      <c r="AA175" s="5">
        <v>1</v>
      </c>
      <c r="AB175" s="5">
        <v>128283.65</v>
      </c>
    </row>
    <row r="176" spans="1:28" ht="12.75">
      <c r="A176" s="5">
        <v>50</v>
      </c>
      <c r="B176" s="5">
        <v>0</v>
      </c>
      <c r="C176" s="5">
        <v>0</v>
      </c>
      <c r="D176" s="5">
        <v>2</v>
      </c>
      <c r="E176" s="5">
        <v>224</v>
      </c>
      <c r="F176" s="5">
        <f>ROUND(F174+F175,O176)</f>
        <v>59347.46</v>
      </c>
      <c r="G176" s="5" t="s">
        <v>154</v>
      </c>
      <c r="H176" s="5" t="s">
        <v>155</v>
      </c>
      <c r="I176" s="5"/>
      <c r="J176" s="5"/>
      <c r="K176" s="5">
        <v>212</v>
      </c>
      <c r="L176" s="5">
        <v>32</v>
      </c>
      <c r="M176" s="5">
        <v>3</v>
      </c>
      <c r="N176" s="5" t="s">
        <v>3</v>
      </c>
      <c r="O176" s="5">
        <v>2</v>
      </c>
      <c r="P176" s="5">
        <f>ROUND(P174+P175,O176)</f>
        <v>769701.92</v>
      </c>
      <c r="Q176" s="5"/>
      <c r="R176" s="5"/>
      <c r="S176" s="5"/>
      <c r="T176" s="5"/>
      <c r="U176" s="5"/>
      <c r="V176" s="5"/>
      <c r="W176" s="5">
        <v>59347.46</v>
      </c>
      <c r="X176" s="5">
        <v>1</v>
      </c>
      <c r="Y176" s="5">
        <v>59347.46</v>
      </c>
      <c r="Z176" s="5">
        <v>769701.92</v>
      </c>
      <c r="AA176" s="5">
        <v>1</v>
      </c>
      <c r="AB176" s="5">
        <v>769701.92</v>
      </c>
    </row>
    <row r="178" spans="1:8" ht="12.75">
      <c r="A178" s="6">
        <v>61</v>
      </c>
      <c r="B178" s="6"/>
      <c r="C178" s="6"/>
      <c r="D178" s="6"/>
      <c r="E178" s="6"/>
      <c r="F178" s="6">
        <v>3</v>
      </c>
      <c r="G178" s="6" t="s">
        <v>156</v>
      </c>
      <c r="H178" s="6" t="s">
        <v>157</v>
      </c>
    </row>
    <row r="179" spans="1:8" ht="12.75">
      <c r="A179" s="6">
        <v>61</v>
      </c>
      <c r="B179" s="6"/>
      <c r="C179" s="6"/>
      <c r="D179" s="6"/>
      <c r="E179" s="6"/>
      <c r="F179" s="6">
        <v>2</v>
      </c>
      <c r="G179" s="6" t="s">
        <v>158</v>
      </c>
      <c r="H179" s="6" t="s">
        <v>157</v>
      </c>
    </row>
    <row r="180" spans="1:8" ht="12.75">
      <c r="A180" s="6">
        <v>61</v>
      </c>
      <c r="B180" s="6"/>
      <c r="C180" s="6"/>
      <c r="D180" s="6"/>
      <c r="E180" s="6"/>
      <c r="F180" s="6">
        <v>1</v>
      </c>
      <c r="G180" s="6" t="s">
        <v>159</v>
      </c>
      <c r="H180" s="6" t="s">
        <v>157</v>
      </c>
    </row>
    <row r="183" spans="1:16" ht="12.75">
      <c r="A183">
        <v>70</v>
      </c>
      <c r="B183">
        <v>1</v>
      </c>
      <c r="D183">
        <v>1</v>
      </c>
      <c r="E183" t="s">
        <v>160</v>
      </c>
      <c r="F183" t="s">
        <v>161</v>
      </c>
      <c r="G183">
        <v>0</v>
      </c>
      <c r="H183">
        <v>0</v>
      </c>
      <c r="J183">
        <v>1</v>
      </c>
      <c r="K183">
        <v>0</v>
      </c>
      <c r="N183">
        <v>0</v>
      </c>
      <c r="O183">
        <v>0</v>
      </c>
      <c r="P183" t="s">
        <v>162</v>
      </c>
    </row>
    <row r="184" spans="1:16" ht="12.75">
      <c r="A184">
        <v>70</v>
      </c>
      <c r="B184">
        <v>1</v>
      </c>
      <c r="D184">
        <v>2</v>
      </c>
      <c r="E184" t="s">
        <v>163</v>
      </c>
      <c r="F184" t="s">
        <v>164</v>
      </c>
      <c r="G184">
        <v>1</v>
      </c>
      <c r="H184">
        <v>0</v>
      </c>
      <c r="J184">
        <v>1</v>
      </c>
      <c r="K184">
        <v>0</v>
      </c>
      <c r="N184">
        <v>0</v>
      </c>
      <c r="O184">
        <v>1</v>
      </c>
      <c r="P184" t="s">
        <v>165</v>
      </c>
    </row>
    <row r="185" spans="1:16" ht="12.75">
      <c r="A185">
        <v>70</v>
      </c>
      <c r="B185">
        <v>1</v>
      </c>
      <c r="D185">
        <v>3</v>
      </c>
      <c r="E185" t="s">
        <v>166</v>
      </c>
      <c r="F185" t="s">
        <v>167</v>
      </c>
      <c r="G185">
        <v>0</v>
      </c>
      <c r="H185">
        <v>0</v>
      </c>
      <c r="J185">
        <v>1</v>
      </c>
      <c r="K185">
        <v>0</v>
      </c>
      <c r="N185">
        <v>0</v>
      </c>
      <c r="O185">
        <v>0</v>
      </c>
      <c r="P185" t="s">
        <v>168</v>
      </c>
    </row>
    <row r="186" spans="1:16" ht="12.75">
      <c r="A186">
        <v>70</v>
      </c>
      <c r="B186">
        <v>1</v>
      </c>
      <c r="D186">
        <v>4</v>
      </c>
      <c r="E186" t="s">
        <v>169</v>
      </c>
      <c r="F186" t="s">
        <v>170</v>
      </c>
      <c r="G186">
        <v>1</v>
      </c>
      <c r="H186">
        <v>0</v>
      </c>
      <c r="J186">
        <v>2</v>
      </c>
      <c r="K186">
        <v>0</v>
      </c>
      <c r="N186">
        <v>0</v>
      </c>
      <c r="O186">
        <v>1</v>
      </c>
    </row>
    <row r="187" spans="1:16" ht="12.75">
      <c r="A187">
        <v>70</v>
      </c>
      <c r="B187">
        <v>1</v>
      </c>
      <c r="D187">
        <v>5</v>
      </c>
      <c r="E187" t="s">
        <v>171</v>
      </c>
      <c r="F187" t="s">
        <v>172</v>
      </c>
      <c r="G187">
        <v>0</v>
      </c>
      <c r="H187">
        <v>0</v>
      </c>
      <c r="J187">
        <v>2</v>
      </c>
      <c r="K187">
        <v>0</v>
      </c>
      <c r="N187">
        <v>0</v>
      </c>
      <c r="O187">
        <v>0</v>
      </c>
    </row>
    <row r="188" spans="1:16" ht="12.75">
      <c r="A188">
        <v>70</v>
      </c>
      <c r="B188">
        <v>1</v>
      </c>
      <c r="D188">
        <v>6</v>
      </c>
      <c r="E188" t="s">
        <v>173</v>
      </c>
      <c r="F188" t="s">
        <v>174</v>
      </c>
      <c r="G188">
        <v>0</v>
      </c>
      <c r="H188">
        <v>0</v>
      </c>
      <c r="J188">
        <v>2</v>
      </c>
      <c r="K188">
        <v>0</v>
      </c>
      <c r="N188">
        <v>0</v>
      </c>
      <c r="O188">
        <v>0</v>
      </c>
    </row>
    <row r="189" spans="1:16" ht="12.75">
      <c r="A189">
        <v>70</v>
      </c>
      <c r="B189">
        <v>1</v>
      </c>
      <c r="D189">
        <v>7</v>
      </c>
      <c r="E189" t="s">
        <v>175</v>
      </c>
      <c r="F189" t="s">
        <v>176</v>
      </c>
      <c r="G189">
        <v>0</v>
      </c>
      <c r="H189">
        <v>0</v>
      </c>
      <c r="I189" t="s">
        <v>177</v>
      </c>
      <c r="J189">
        <v>0</v>
      </c>
      <c r="K189">
        <v>0</v>
      </c>
      <c r="N189">
        <v>0</v>
      </c>
      <c r="O189">
        <v>0</v>
      </c>
      <c r="P189" t="s">
        <v>178</v>
      </c>
    </row>
    <row r="190" spans="1:16" ht="12.75">
      <c r="A190">
        <v>70</v>
      </c>
      <c r="B190">
        <v>1</v>
      </c>
      <c r="D190">
        <v>8</v>
      </c>
      <c r="E190" t="s">
        <v>179</v>
      </c>
      <c r="F190" t="s">
        <v>180</v>
      </c>
      <c r="G190">
        <v>1</v>
      </c>
      <c r="H190">
        <v>0</v>
      </c>
      <c r="J190">
        <v>5</v>
      </c>
      <c r="K190">
        <v>0</v>
      </c>
      <c r="N190">
        <v>0</v>
      </c>
      <c r="O190">
        <v>1</v>
      </c>
    </row>
    <row r="191" spans="1:16" ht="12.75">
      <c r="A191">
        <v>70</v>
      </c>
      <c r="B191">
        <v>1</v>
      </c>
      <c r="D191">
        <v>9</v>
      </c>
      <c r="E191" t="s">
        <v>181</v>
      </c>
      <c r="F191" t="s">
        <v>182</v>
      </c>
      <c r="G191">
        <v>0</v>
      </c>
      <c r="H191">
        <v>0</v>
      </c>
      <c r="J191">
        <v>5</v>
      </c>
      <c r="K191">
        <v>0</v>
      </c>
      <c r="N191">
        <v>0</v>
      </c>
      <c r="O191">
        <v>0</v>
      </c>
    </row>
    <row r="192" spans="1:16" ht="12.75">
      <c r="A192">
        <v>70</v>
      </c>
      <c r="B192">
        <v>1</v>
      </c>
      <c r="D192">
        <v>10</v>
      </c>
      <c r="E192" t="s">
        <v>183</v>
      </c>
      <c r="F192" t="s">
        <v>184</v>
      </c>
      <c r="G192">
        <v>0</v>
      </c>
      <c r="H192">
        <v>0</v>
      </c>
      <c r="I192" t="s">
        <v>185</v>
      </c>
      <c r="J192">
        <v>5</v>
      </c>
      <c r="K192">
        <v>0</v>
      </c>
      <c r="N192">
        <v>0</v>
      </c>
      <c r="O192">
        <v>0</v>
      </c>
      <c r="P192" t="s">
        <v>186</v>
      </c>
    </row>
    <row r="193" spans="1:16" ht="12.75">
      <c r="A193">
        <v>70</v>
      </c>
      <c r="B193">
        <v>1</v>
      </c>
      <c r="D193">
        <v>11</v>
      </c>
      <c r="E193" t="s">
        <v>187</v>
      </c>
      <c r="F193" t="s">
        <v>188</v>
      </c>
      <c r="G193">
        <v>0</v>
      </c>
      <c r="H193">
        <v>0</v>
      </c>
      <c r="I193" t="s">
        <v>189</v>
      </c>
      <c r="J193">
        <v>0</v>
      </c>
      <c r="K193">
        <v>0</v>
      </c>
      <c r="N193">
        <v>0</v>
      </c>
      <c r="O193">
        <v>0</v>
      </c>
      <c r="P193" t="s">
        <v>190</v>
      </c>
    </row>
    <row r="194" spans="1:16" ht="12.75">
      <c r="A194">
        <v>70</v>
      </c>
      <c r="B194">
        <v>1</v>
      </c>
      <c r="D194">
        <v>12</v>
      </c>
      <c r="E194" t="s">
        <v>191</v>
      </c>
      <c r="F194" t="s">
        <v>192</v>
      </c>
      <c r="G194">
        <v>0</v>
      </c>
      <c r="H194">
        <v>0</v>
      </c>
      <c r="I194" t="s">
        <v>193</v>
      </c>
      <c r="J194">
        <v>0</v>
      </c>
      <c r="K194">
        <v>0</v>
      </c>
      <c r="N194">
        <v>0</v>
      </c>
      <c r="O194">
        <v>0</v>
      </c>
      <c r="P194" t="s">
        <v>194</v>
      </c>
    </row>
    <row r="195" spans="1:16" ht="12.75">
      <c r="A195">
        <v>70</v>
      </c>
      <c r="B195">
        <v>1</v>
      </c>
      <c r="D195">
        <v>13</v>
      </c>
      <c r="E195" t="s">
        <v>195</v>
      </c>
      <c r="F195" t="s">
        <v>196</v>
      </c>
      <c r="G195">
        <v>0</v>
      </c>
      <c r="H195">
        <v>0</v>
      </c>
      <c r="I195" t="s">
        <v>197</v>
      </c>
      <c r="J195">
        <v>0</v>
      </c>
      <c r="K195">
        <v>0</v>
      </c>
      <c r="N195">
        <v>0</v>
      </c>
      <c r="O195">
        <v>0</v>
      </c>
      <c r="P195" t="s">
        <v>198</v>
      </c>
    </row>
    <row r="196" spans="1:16" ht="12.75">
      <c r="A196">
        <v>70</v>
      </c>
      <c r="B196">
        <v>1</v>
      </c>
      <c r="D196">
        <v>14</v>
      </c>
      <c r="E196" t="s">
        <v>199</v>
      </c>
      <c r="F196" t="s">
        <v>200</v>
      </c>
      <c r="G196">
        <v>0</v>
      </c>
      <c r="H196">
        <v>0</v>
      </c>
      <c r="J196">
        <v>0</v>
      </c>
      <c r="K196">
        <v>0</v>
      </c>
      <c r="N196">
        <v>0</v>
      </c>
      <c r="O196">
        <v>0</v>
      </c>
      <c r="P196" t="s">
        <v>201</v>
      </c>
    </row>
    <row r="197" spans="1:16" ht="12.75">
      <c r="A197">
        <v>70</v>
      </c>
      <c r="B197">
        <v>1</v>
      </c>
      <c r="D197">
        <v>15</v>
      </c>
      <c r="E197" t="s">
        <v>202</v>
      </c>
      <c r="F197" t="s">
        <v>203</v>
      </c>
      <c r="G197">
        <v>0</v>
      </c>
      <c r="H197">
        <v>0</v>
      </c>
      <c r="J197">
        <v>3</v>
      </c>
      <c r="K197">
        <v>0</v>
      </c>
      <c r="N197">
        <v>0</v>
      </c>
      <c r="O197">
        <v>0</v>
      </c>
    </row>
    <row r="198" spans="1:16" ht="12.75">
      <c r="A198">
        <v>70</v>
      </c>
      <c r="B198">
        <v>1</v>
      </c>
      <c r="D198">
        <v>16</v>
      </c>
      <c r="E198" t="s">
        <v>204</v>
      </c>
      <c r="F198" t="s">
        <v>205</v>
      </c>
      <c r="G198">
        <v>1</v>
      </c>
      <c r="H198">
        <v>0</v>
      </c>
      <c r="J198">
        <v>3</v>
      </c>
      <c r="K198">
        <v>0</v>
      </c>
      <c r="N198">
        <v>0</v>
      </c>
      <c r="O198">
        <v>1</v>
      </c>
    </row>
    <row r="199" spans="1:16" ht="12.75">
      <c r="A199">
        <v>70</v>
      </c>
      <c r="B199">
        <v>1</v>
      </c>
      <c r="D199">
        <v>1</v>
      </c>
      <c r="E199" t="s">
        <v>206</v>
      </c>
      <c r="F199" t="s">
        <v>207</v>
      </c>
      <c r="G199">
        <v>0.9</v>
      </c>
      <c r="H199">
        <v>1</v>
      </c>
      <c r="I199" t="s">
        <v>208</v>
      </c>
      <c r="J199">
        <v>0</v>
      </c>
      <c r="K199">
        <v>0</v>
      </c>
      <c r="N199">
        <v>0</v>
      </c>
      <c r="O199">
        <v>0.9</v>
      </c>
      <c r="P199" t="s">
        <v>209</v>
      </c>
    </row>
    <row r="200" spans="1:16" ht="12.75">
      <c r="A200">
        <v>70</v>
      </c>
      <c r="B200">
        <v>1</v>
      </c>
      <c r="D200">
        <v>2</v>
      </c>
      <c r="E200" t="s">
        <v>210</v>
      </c>
      <c r="F200" t="s">
        <v>211</v>
      </c>
      <c r="G200">
        <v>0.85</v>
      </c>
      <c r="H200">
        <v>1</v>
      </c>
      <c r="I200" t="s">
        <v>212</v>
      </c>
      <c r="J200">
        <v>0</v>
      </c>
      <c r="K200">
        <v>0</v>
      </c>
      <c r="N200">
        <v>0</v>
      </c>
      <c r="O200">
        <v>0.85</v>
      </c>
      <c r="P200" t="s">
        <v>213</v>
      </c>
    </row>
    <row r="201" spans="1:16" ht="12.75">
      <c r="A201">
        <v>70</v>
      </c>
      <c r="B201">
        <v>1</v>
      </c>
      <c r="D201">
        <v>3</v>
      </c>
      <c r="E201" t="s">
        <v>214</v>
      </c>
      <c r="F201" t="s">
        <v>215</v>
      </c>
      <c r="G201">
        <v>1.03</v>
      </c>
      <c r="H201">
        <v>0</v>
      </c>
      <c r="J201">
        <v>0</v>
      </c>
      <c r="K201">
        <v>0</v>
      </c>
      <c r="N201">
        <v>0</v>
      </c>
      <c r="O201">
        <v>1.03</v>
      </c>
      <c r="P201" t="s">
        <v>216</v>
      </c>
    </row>
    <row r="202" spans="1:16" ht="12.75">
      <c r="A202">
        <v>70</v>
      </c>
      <c r="B202">
        <v>1</v>
      </c>
      <c r="D202">
        <v>4</v>
      </c>
      <c r="E202" t="s">
        <v>217</v>
      </c>
      <c r="F202" t="s">
        <v>218</v>
      </c>
      <c r="G202">
        <v>1.15</v>
      </c>
      <c r="H202">
        <v>0</v>
      </c>
      <c r="J202">
        <v>0</v>
      </c>
      <c r="K202">
        <v>0</v>
      </c>
      <c r="N202">
        <v>0</v>
      </c>
      <c r="O202">
        <v>1.15</v>
      </c>
      <c r="P202" t="s">
        <v>219</v>
      </c>
    </row>
    <row r="203" spans="1:16" ht="12.75">
      <c r="A203">
        <v>70</v>
      </c>
      <c r="B203">
        <v>1</v>
      </c>
      <c r="D203">
        <v>5</v>
      </c>
      <c r="E203" t="s">
        <v>220</v>
      </c>
      <c r="F203" t="s">
        <v>221</v>
      </c>
      <c r="G203">
        <v>7</v>
      </c>
      <c r="H203">
        <v>0</v>
      </c>
      <c r="J203">
        <v>0</v>
      </c>
      <c r="K203">
        <v>0</v>
      </c>
      <c r="N203">
        <v>0</v>
      </c>
      <c r="O203">
        <v>7</v>
      </c>
    </row>
    <row r="204" spans="1:16" ht="12.75">
      <c r="A204">
        <v>70</v>
      </c>
      <c r="B204">
        <v>1</v>
      </c>
      <c r="D204">
        <v>6</v>
      </c>
      <c r="E204" t="s">
        <v>222</v>
      </c>
      <c r="G204">
        <v>2</v>
      </c>
      <c r="H204">
        <v>0</v>
      </c>
      <c r="J204">
        <v>0</v>
      </c>
      <c r="K204">
        <v>0</v>
      </c>
      <c r="N204">
        <v>0</v>
      </c>
      <c r="O204">
        <v>2</v>
      </c>
    </row>
    <row r="206" ht="12.75">
      <c r="A206">
        <v>-1</v>
      </c>
    </row>
    <row r="208" spans="1:15" ht="12.75">
      <c r="A208" s="4">
        <v>75</v>
      </c>
      <c r="B208" s="4" t="s">
        <v>223</v>
      </c>
      <c r="C208" s="4">
        <v>2000</v>
      </c>
      <c r="D208" s="4">
        <v>0</v>
      </c>
      <c r="E208" s="4">
        <v>1</v>
      </c>
      <c r="F208" s="4"/>
      <c r="G208" s="4">
        <v>0</v>
      </c>
      <c r="H208" s="4">
        <v>1</v>
      </c>
      <c r="I208" s="4">
        <v>0</v>
      </c>
      <c r="J208" s="4">
        <v>1</v>
      </c>
      <c r="K208" s="4">
        <v>0</v>
      </c>
      <c r="L208" s="4">
        <v>0</v>
      </c>
      <c r="M208" s="4">
        <v>0</v>
      </c>
      <c r="N208" s="4">
        <v>55670666</v>
      </c>
      <c r="O208" s="4">
        <v>1</v>
      </c>
    </row>
    <row r="209" spans="1:15" ht="12.75">
      <c r="A209" s="4">
        <v>75</v>
      </c>
      <c r="B209" s="4" t="s">
        <v>224</v>
      </c>
      <c r="C209" s="4">
        <v>2023</v>
      </c>
      <c r="D209" s="4">
        <v>3</v>
      </c>
      <c r="E209" s="4">
        <v>0</v>
      </c>
      <c r="F209" s="4"/>
      <c r="G209" s="4">
        <v>0</v>
      </c>
      <c r="H209" s="4">
        <v>1</v>
      </c>
      <c r="I209" s="4">
        <v>0</v>
      </c>
      <c r="J209" s="4">
        <v>1</v>
      </c>
      <c r="K209" s="4">
        <v>0</v>
      </c>
      <c r="L209" s="4">
        <v>0</v>
      </c>
      <c r="M209" s="4">
        <v>1</v>
      </c>
      <c r="N209" s="4">
        <v>55671155</v>
      </c>
      <c r="O209" s="4">
        <v>2</v>
      </c>
    </row>
    <row r="210" spans="1:40" ht="12.75">
      <c r="A210" s="7">
        <v>3</v>
      </c>
      <c r="B210" s="7" t="s">
        <v>225</v>
      </c>
      <c r="C210" s="7">
        <v>1</v>
      </c>
      <c r="D210" s="7">
        <v>6.72</v>
      </c>
      <c r="E210" s="7">
        <v>13.24</v>
      </c>
      <c r="F210" s="7">
        <v>37.34</v>
      </c>
      <c r="G210" s="7">
        <v>37.34</v>
      </c>
      <c r="H210" s="7">
        <v>1</v>
      </c>
      <c r="I210" s="7">
        <v>1</v>
      </c>
      <c r="J210" s="7">
        <v>2</v>
      </c>
      <c r="K210" s="7">
        <v>1</v>
      </c>
      <c r="L210" s="7">
        <v>13.24</v>
      </c>
      <c r="M210" s="7">
        <v>1</v>
      </c>
      <c r="N210" s="7">
        <v>6.72</v>
      </c>
      <c r="O210" s="7">
        <v>1</v>
      </c>
      <c r="P210" s="7">
        <v>1</v>
      </c>
      <c r="Q210" s="7">
        <v>1</v>
      </c>
      <c r="R210" s="7">
        <v>13.24</v>
      </c>
      <c r="S210" s="7" t="s">
        <v>41</v>
      </c>
      <c r="T210" s="7" t="s">
        <v>3</v>
      </c>
      <c r="U210" s="7" t="s">
        <v>3</v>
      </c>
      <c r="V210" s="7" t="s">
        <v>3</v>
      </c>
      <c r="W210" s="7" t="s">
        <v>3</v>
      </c>
      <c r="X210" s="7" t="s">
        <v>3</v>
      </c>
      <c r="Y210" s="7" t="s">
        <v>3</v>
      </c>
      <c r="Z210" s="7" t="s">
        <v>3</v>
      </c>
      <c r="AA210" s="7" t="s">
        <v>3</v>
      </c>
      <c r="AB210" s="7" t="s">
        <v>3</v>
      </c>
      <c r="AC210" s="7" t="s">
        <v>3</v>
      </c>
      <c r="AD210" s="7" t="s">
        <v>3</v>
      </c>
      <c r="AE210" s="7" t="s">
        <v>3</v>
      </c>
      <c r="AF210" s="7" t="s">
        <v>3</v>
      </c>
      <c r="AG210" s="7" t="s">
        <v>3</v>
      </c>
      <c r="AH210" s="7" t="s">
        <v>3</v>
      </c>
      <c r="AI210" s="7"/>
      <c r="AJ210" s="7"/>
      <c r="AK210" s="7"/>
      <c r="AL210" s="7"/>
      <c r="AM210" s="7"/>
      <c r="AN210" s="7">
        <v>55671156</v>
      </c>
    </row>
    <row r="214" spans="1:5" ht="12.75">
      <c r="A214">
        <v>65</v>
      </c>
      <c r="C214">
        <v>1</v>
      </c>
      <c r="D214">
        <v>0</v>
      </c>
      <c r="E214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C5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226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54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284</v>
      </c>
      <c r="CR12" s="1" t="s">
        <v>18</v>
      </c>
      <c r="CS12" s="1">
        <v>44551</v>
      </c>
      <c r="CT12" s="1">
        <v>395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1</v>
      </c>
      <c r="C14" s="1">
        <v>0</v>
      </c>
      <c r="D14" s="1">
        <v>55670666</v>
      </c>
      <c r="E14" s="1">
        <v>55671155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87" ht="12.75">
      <c r="A16" s="8">
        <v>3</v>
      </c>
      <c r="B16" s="8">
        <v>0</v>
      </c>
      <c r="C16" s="8" t="s">
        <v>3</v>
      </c>
      <c r="D16" s="8" t="s">
        <v>3</v>
      </c>
      <c r="E16" s="9">
        <f>ROUND((Source!F129)/1000,2)</f>
        <v>49.46</v>
      </c>
      <c r="F16" s="9">
        <f>ROUND((Source!F130)/1000,2)</f>
        <v>0</v>
      </c>
      <c r="G16" s="9">
        <f>ROUND((Source!F121)/1000,2)</f>
        <v>0</v>
      </c>
      <c r="H16" s="9">
        <f>ROUND((Source!F131)/1000+(Source!F132)/1000,2)</f>
        <v>0</v>
      </c>
      <c r="I16" s="9">
        <f>E16+F16+G16+H16</f>
        <v>49.46</v>
      </c>
      <c r="J16" s="9">
        <f>ROUND((Source!F127+Source!F126)/1000,2)</f>
        <v>4.17</v>
      </c>
      <c r="T16" s="10">
        <f>ROUND((Source!P129)/1000,2)</f>
        <v>641.42</v>
      </c>
      <c r="U16" s="10">
        <f>ROUND((Source!P130)/1000,2)</f>
        <v>0</v>
      </c>
      <c r="V16" s="10">
        <f>ROUND((Source!P121)/1000,2)</f>
        <v>0</v>
      </c>
      <c r="W16" s="10">
        <f>ROUND((Source!P131)/1000+(Source!P132)/1000,2)</f>
        <v>0</v>
      </c>
      <c r="X16" s="10">
        <f>T16+U16+V16+W16</f>
        <v>641.42</v>
      </c>
      <c r="Y16" s="10">
        <f>ROUND((Source!P127+Source!P126)/1000,2)</f>
        <v>155.6</v>
      </c>
      <c r="AI16" s="8">
        <v>0</v>
      </c>
      <c r="AJ16" s="8">
        <v>-1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43580.729999999996</v>
      </c>
      <c r="AU16" s="9">
        <v>39054.03</v>
      </c>
      <c r="AV16" s="9">
        <v>0</v>
      </c>
      <c r="AW16" s="9">
        <v>0</v>
      </c>
      <c r="AX16" s="9">
        <v>0</v>
      </c>
      <c r="AY16" s="9">
        <v>150.61</v>
      </c>
      <c r="AZ16" s="9">
        <v>32.18</v>
      </c>
      <c r="BA16" s="9">
        <v>4134.84</v>
      </c>
      <c r="BB16" s="9">
        <v>49456.22</v>
      </c>
      <c r="BC16" s="9">
        <v>0</v>
      </c>
      <c r="BD16" s="9">
        <v>0</v>
      </c>
      <c r="BE16" s="9">
        <v>0</v>
      </c>
      <c r="BF16" s="9">
        <v>452.9579708</v>
      </c>
      <c r="BG16" s="9">
        <v>2.65639</v>
      </c>
      <c r="BH16" s="9">
        <v>0</v>
      </c>
      <c r="BI16" s="9">
        <v>3847.36</v>
      </c>
      <c r="BJ16" s="9">
        <v>2028.13</v>
      </c>
      <c r="BK16" s="9">
        <v>59347.46</v>
      </c>
      <c r="BR16" s="10">
        <v>422026.84</v>
      </c>
      <c r="BS16" s="10">
        <v>262443.05</v>
      </c>
      <c r="BT16" s="10">
        <v>0</v>
      </c>
      <c r="BU16" s="10">
        <v>0</v>
      </c>
      <c r="BV16" s="10">
        <v>0</v>
      </c>
      <c r="BW16" s="10">
        <v>1994.53</v>
      </c>
      <c r="BX16" s="10">
        <v>1201.8</v>
      </c>
      <c r="BY16" s="10">
        <v>154395.18000000002</v>
      </c>
      <c r="BZ16" s="10">
        <v>641418.27</v>
      </c>
      <c r="CA16" s="10">
        <v>0</v>
      </c>
      <c r="CB16" s="10">
        <v>0</v>
      </c>
      <c r="CC16" s="10">
        <v>0</v>
      </c>
      <c r="CD16" s="10">
        <v>452.9579708</v>
      </c>
      <c r="CE16" s="10">
        <v>2.65639</v>
      </c>
      <c r="CF16" s="10">
        <v>0</v>
      </c>
      <c r="CG16" s="10">
        <v>143660.9</v>
      </c>
      <c r="CH16" s="10">
        <v>75730.53</v>
      </c>
      <c r="CI16" s="10">
        <v>769701.92</v>
      </c>
    </row>
    <row r="18" spans="1:40" ht="12.75">
      <c r="A18">
        <v>51</v>
      </c>
      <c r="E18" s="6">
        <f>SUMIF(A16:A17,3,E16:E17)</f>
        <v>49.46</v>
      </c>
      <c r="F18" s="6">
        <f>SUMIF(A16:A17,3,F16:F17)</f>
        <v>0</v>
      </c>
      <c r="G18" s="6">
        <f>SUMIF(A16:A17,3,G16:G17)</f>
        <v>0</v>
      </c>
      <c r="H18" s="6">
        <f>SUMIF(A16:A17,3,H16:H17)</f>
        <v>0</v>
      </c>
      <c r="I18" s="6">
        <f>SUMIF(A16:A17,3,I16:I17)</f>
        <v>49.46</v>
      </c>
      <c r="J18" s="6">
        <f>SUMIF(A16:A17,3,J16:J17)</f>
        <v>4.17</v>
      </c>
      <c r="K18" s="6"/>
      <c r="L18" s="6"/>
      <c r="M18" s="6"/>
      <c r="N18" s="6"/>
      <c r="O18" s="6"/>
      <c r="P18" s="6"/>
      <c r="Q18" s="6"/>
      <c r="R18" s="6"/>
      <c r="S18" s="6"/>
      <c r="T18" s="3">
        <f>SUMIF(A16:A17,3,T16:T17)</f>
        <v>641.42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641.42</v>
      </c>
      <c r="Y18" s="3">
        <f>SUMIF(A16:A17,3,Y16:Y17)</f>
        <v>155.6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43580.729999999996</v>
      </c>
      <c r="G20" s="5" t="s">
        <v>76</v>
      </c>
      <c r="H20" s="5" t="s">
        <v>77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422026.84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39054.03</v>
      </c>
      <c r="G21" s="5" t="s">
        <v>78</v>
      </c>
      <c r="H21" s="5" t="s">
        <v>79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262443.05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80</v>
      </c>
      <c r="H22" s="5" t="s">
        <v>81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39054.03</v>
      </c>
      <c r="G23" s="5" t="s">
        <v>82</v>
      </c>
      <c r="H23" s="5" t="s">
        <v>83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262443.05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39054.03</v>
      </c>
      <c r="G24" s="5" t="s">
        <v>84</v>
      </c>
      <c r="H24" s="5" t="s">
        <v>85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262443.05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86</v>
      </c>
      <c r="H25" s="5" t="s">
        <v>87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16" ht="12.75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39054.03</v>
      </c>
      <c r="G26" s="5" t="s">
        <v>88</v>
      </c>
      <c r="H26" s="5" t="s">
        <v>89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262443.05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90</v>
      </c>
      <c r="H27" s="5" t="s">
        <v>91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92</v>
      </c>
      <c r="H28" s="5" t="s">
        <v>93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94</v>
      </c>
      <c r="H29" s="5" t="s">
        <v>95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150.61</v>
      </c>
      <c r="G30" s="5" t="s">
        <v>96</v>
      </c>
      <c r="H30" s="5" t="s">
        <v>97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1994.53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98</v>
      </c>
      <c r="H31" s="5" t="s">
        <v>99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32.18</v>
      </c>
      <c r="G32" s="5" t="s">
        <v>100</v>
      </c>
      <c r="H32" s="5" t="s">
        <v>101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1201.8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4134.84</v>
      </c>
      <c r="G33" s="5" t="s">
        <v>102</v>
      </c>
      <c r="H33" s="5" t="s">
        <v>103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154395.18000000002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104</v>
      </c>
      <c r="H34" s="5" t="s">
        <v>105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49456.22</v>
      </c>
      <c r="G35" s="5" t="s">
        <v>106</v>
      </c>
      <c r="H35" s="5" t="s">
        <v>107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641418.27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108</v>
      </c>
      <c r="H36" s="5" t="s">
        <v>109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110</v>
      </c>
      <c r="H37" s="5" t="s">
        <v>111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112</v>
      </c>
      <c r="H38" s="5" t="s">
        <v>113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114</v>
      </c>
      <c r="H39" s="5" t="s">
        <v>115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452.9579708</v>
      </c>
      <c r="G40" s="5" t="s">
        <v>116</v>
      </c>
      <c r="H40" s="5" t="s">
        <v>117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452.9579708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2.65639</v>
      </c>
      <c r="G41" s="5" t="s">
        <v>118</v>
      </c>
      <c r="H41" s="5" t="s">
        <v>119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2.65639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120</v>
      </c>
      <c r="H42" s="5" t="s">
        <v>121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ht="12.75">
      <c r="A43" s="5">
        <v>50</v>
      </c>
      <c r="B43" s="5">
        <v>0</v>
      </c>
      <c r="C43" s="5">
        <v>0</v>
      </c>
      <c r="D43" s="5">
        <v>1</v>
      </c>
      <c r="E43" s="5">
        <v>233</v>
      </c>
      <c r="F43" s="5">
        <v>241.25</v>
      </c>
      <c r="G43" s="5" t="s">
        <v>122</v>
      </c>
      <c r="H43" s="5" t="s">
        <v>123</v>
      </c>
      <c r="I43" s="5"/>
      <c r="J43" s="5"/>
      <c r="K43" s="5">
        <v>233</v>
      </c>
      <c r="L43" s="5">
        <v>24</v>
      </c>
      <c r="M43" s="5">
        <v>3</v>
      </c>
      <c r="N43" s="5" t="s">
        <v>3</v>
      </c>
      <c r="O43" s="5">
        <v>2</v>
      </c>
      <c r="P43" s="5">
        <v>3194.08</v>
      </c>
    </row>
    <row r="44" spans="1:16" ht="12.75">
      <c r="A44" s="5">
        <v>50</v>
      </c>
      <c r="B44" s="5">
        <v>0</v>
      </c>
      <c r="C44" s="5">
        <v>0</v>
      </c>
      <c r="D44" s="5">
        <v>1</v>
      </c>
      <c r="E44" s="5">
        <v>210</v>
      </c>
      <c r="F44" s="5">
        <v>3847.36</v>
      </c>
      <c r="G44" s="5" t="s">
        <v>124</v>
      </c>
      <c r="H44" s="5" t="s">
        <v>125</v>
      </c>
      <c r="I44" s="5"/>
      <c r="J44" s="5"/>
      <c r="K44" s="5">
        <v>210</v>
      </c>
      <c r="L44" s="5">
        <v>25</v>
      </c>
      <c r="M44" s="5">
        <v>3</v>
      </c>
      <c r="N44" s="5" t="s">
        <v>3</v>
      </c>
      <c r="O44" s="5">
        <v>2</v>
      </c>
      <c r="P44" s="5">
        <v>143660.9</v>
      </c>
    </row>
    <row r="45" spans="1:16" ht="12.75">
      <c r="A45" s="5">
        <v>50</v>
      </c>
      <c r="B45" s="5">
        <v>0</v>
      </c>
      <c r="C45" s="5">
        <v>0</v>
      </c>
      <c r="D45" s="5">
        <v>1</v>
      </c>
      <c r="E45" s="5">
        <v>211</v>
      </c>
      <c r="F45" s="5">
        <v>2028.13</v>
      </c>
      <c r="G45" s="5" t="s">
        <v>126</v>
      </c>
      <c r="H45" s="5" t="s">
        <v>127</v>
      </c>
      <c r="I45" s="5"/>
      <c r="J45" s="5"/>
      <c r="K45" s="5">
        <v>211</v>
      </c>
      <c r="L45" s="5">
        <v>26</v>
      </c>
      <c r="M45" s="5">
        <v>3</v>
      </c>
      <c r="N45" s="5" t="s">
        <v>3</v>
      </c>
      <c r="O45" s="5">
        <v>2</v>
      </c>
      <c r="P45" s="5">
        <v>75730.53</v>
      </c>
    </row>
    <row r="46" spans="1:16" ht="12.75">
      <c r="A46" s="5">
        <v>50</v>
      </c>
      <c r="B46" s="5">
        <v>0</v>
      </c>
      <c r="C46" s="5">
        <v>0</v>
      </c>
      <c r="D46" s="5">
        <v>1</v>
      </c>
      <c r="E46" s="5">
        <v>0</v>
      </c>
      <c r="F46" s="5">
        <v>49456.219999999994</v>
      </c>
      <c r="G46" s="5" t="s">
        <v>128</v>
      </c>
      <c r="H46" s="5" t="s">
        <v>129</v>
      </c>
      <c r="I46" s="5"/>
      <c r="J46" s="5"/>
      <c r="K46" s="5">
        <v>224</v>
      </c>
      <c r="L46" s="5">
        <v>27</v>
      </c>
      <c r="M46" s="5">
        <v>3</v>
      </c>
      <c r="N46" s="5" t="s">
        <v>3</v>
      </c>
      <c r="O46" s="5">
        <v>2</v>
      </c>
      <c r="P46" s="5">
        <v>641418.27</v>
      </c>
    </row>
    <row r="47" spans="1:16" ht="12.75">
      <c r="A47" s="5">
        <v>50</v>
      </c>
      <c r="B47" s="5">
        <v>0</v>
      </c>
      <c r="C47" s="5">
        <v>0</v>
      </c>
      <c r="D47" s="5">
        <v>2</v>
      </c>
      <c r="E47" s="5">
        <v>0</v>
      </c>
      <c r="F47" s="5">
        <v>49456.22</v>
      </c>
      <c r="G47" s="5" t="s">
        <v>152</v>
      </c>
      <c r="H47" s="5" t="s">
        <v>128</v>
      </c>
      <c r="I47" s="5"/>
      <c r="J47" s="5"/>
      <c r="K47" s="5">
        <v>212</v>
      </c>
      <c r="L47" s="5">
        <v>28</v>
      </c>
      <c r="M47" s="5">
        <v>3</v>
      </c>
      <c r="N47" s="5" t="s">
        <v>3</v>
      </c>
      <c r="O47" s="5">
        <v>2</v>
      </c>
      <c r="P47" s="5">
        <v>641418.27</v>
      </c>
    </row>
    <row r="48" spans="1:16" ht="12.75">
      <c r="A48" s="5">
        <v>50</v>
      </c>
      <c r="B48" s="5">
        <v>0</v>
      </c>
      <c r="C48" s="5">
        <v>0</v>
      </c>
      <c r="D48" s="5">
        <v>2</v>
      </c>
      <c r="E48" s="5">
        <v>0</v>
      </c>
      <c r="F48" s="5">
        <v>9891.24</v>
      </c>
      <c r="G48" s="5" t="s">
        <v>148</v>
      </c>
      <c r="H48" s="5" t="s">
        <v>153</v>
      </c>
      <c r="I48" s="5"/>
      <c r="J48" s="5"/>
      <c r="K48" s="5">
        <v>212</v>
      </c>
      <c r="L48" s="5">
        <v>31</v>
      </c>
      <c r="M48" s="5">
        <v>3</v>
      </c>
      <c r="N48" s="5" t="s">
        <v>3</v>
      </c>
      <c r="O48" s="5">
        <v>2</v>
      </c>
      <c r="P48" s="5">
        <v>128283.65</v>
      </c>
    </row>
    <row r="49" spans="1:16" ht="12.75">
      <c r="A49" s="5">
        <v>50</v>
      </c>
      <c r="B49" s="5">
        <v>0</v>
      </c>
      <c r="C49" s="5">
        <v>0</v>
      </c>
      <c r="D49" s="5">
        <v>2</v>
      </c>
      <c r="E49" s="5">
        <v>224</v>
      </c>
      <c r="F49" s="5">
        <v>59347.46</v>
      </c>
      <c r="G49" s="5" t="s">
        <v>154</v>
      </c>
      <c r="H49" s="5" t="s">
        <v>155</v>
      </c>
      <c r="I49" s="5"/>
      <c r="J49" s="5"/>
      <c r="K49" s="5">
        <v>212</v>
      </c>
      <c r="L49" s="5">
        <v>32</v>
      </c>
      <c r="M49" s="5">
        <v>3</v>
      </c>
      <c r="N49" s="5" t="s">
        <v>3</v>
      </c>
      <c r="O49" s="5">
        <v>2</v>
      </c>
      <c r="P49" s="5">
        <v>769701.92</v>
      </c>
    </row>
    <row r="51" ht="12.75">
      <c r="A51">
        <v>-1</v>
      </c>
    </row>
    <row r="54" spans="1:15" ht="12.75">
      <c r="A54" s="4">
        <v>75</v>
      </c>
      <c r="B54" s="4" t="s">
        <v>223</v>
      </c>
      <c r="C54" s="4">
        <v>2000</v>
      </c>
      <c r="D54" s="4">
        <v>0</v>
      </c>
      <c r="E54" s="4">
        <v>1</v>
      </c>
      <c r="F54" s="4"/>
      <c r="G54" s="4">
        <v>0</v>
      </c>
      <c r="H54" s="4">
        <v>1</v>
      </c>
      <c r="I54" s="4">
        <v>0</v>
      </c>
      <c r="J54" s="4">
        <v>1</v>
      </c>
      <c r="K54" s="4">
        <v>0</v>
      </c>
      <c r="L54" s="4">
        <v>0</v>
      </c>
      <c r="M54" s="4">
        <v>0</v>
      </c>
      <c r="N54" s="4">
        <v>55670666</v>
      </c>
      <c r="O54" s="4">
        <v>1</v>
      </c>
    </row>
    <row r="55" spans="1:15" ht="12.75">
      <c r="A55" s="4">
        <v>75</v>
      </c>
      <c r="B55" s="4" t="s">
        <v>224</v>
      </c>
      <c r="C55" s="4">
        <v>2023</v>
      </c>
      <c r="D55" s="4">
        <v>3</v>
      </c>
      <c r="E55" s="4">
        <v>0</v>
      </c>
      <c r="F55" s="4"/>
      <c r="G55" s="4">
        <v>0</v>
      </c>
      <c r="H55" s="4">
        <v>1</v>
      </c>
      <c r="I55" s="4">
        <v>0</v>
      </c>
      <c r="J55" s="4">
        <v>1</v>
      </c>
      <c r="K55" s="4">
        <v>0</v>
      </c>
      <c r="L55" s="4">
        <v>0</v>
      </c>
      <c r="M55" s="4">
        <v>1</v>
      </c>
      <c r="N55" s="4">
        <v>55671155</v>
      </c>
      <c r="O55" s="4">
        <v>2</v>
      </c>
    </row>
    <row r="56" spans="1:40" ht="12.75">
      <c r="A56" s="7">
        <v>3</v>
      </c>
      <c r="B56" s="7" t="s">
        <v>225</v>
      </c>
      <c r="C56" s="7">
        <v>1</v>
      </c>
      <c r="D56" s="7">
        <v>6.72</v>
      </c>
      <c r="E56" s="7">
        <v>13.24</v>
      </c>
      <c r="F56" s="7">
        <v>37.34</v>
      </c>
      <c r="G56" s="7">
        <v>37.34</v>
      </c>
      <c r="H56" s="7">
        <v>1</v>
      </c>
      <c r="I56" s="7">
        <v>1</v>
      </c>
      <c r="J56" s="7">
        <v>2</v>
      </c>
      <c r="K56" s="7">
        <v>1</v>
      </c>
      <c r="L56" s="7">
        <v>13.24</v>
      </c>
      <c r="M56" s="7">
        <v>1</v>
      </c>
      <c r="N56" s="7">
        <v>6.72</v>
      </c>
      <c r="O56" s="7">
        <v>1</v>
      </c>
      <c r="P56" s="7">
        <v>1</v>
      </c>
      <c r="Q56" s="7">
        <v>1</v>
      </c>
      <c r="R56" s="7">
        <v>13.24</v>
      </c>
      <c r="S56" s="7" t="s">
        <v>41</v>
      </c>
      <c r="T56" s="7" t="s">
        <v>3</v>
      </c>
      <c r="U56" s="7" t="s">
        <v>3</v>
      </c>
      <c r="V56" s="7" t="s">
        <v>3</v>
      </c>
      <c r="W56" s="7" t="s">
        <v>3</v>
      </c>
      <c r="X56" s="7" t="s">
        <v>3</v>
      </c>
      <c r="Y56" s="7" t="s">
        <v>3</v>
      </c>
      <c r="Z56" s="7" t="s">
        <v>3</v>
      </c>
      <c r="AA56" s="7" t="s">
        <v>3</v>
      </c>
      <c r="AB56" s="7" t="s">
        <v>3</v>
      </c>
      <c r="AC56" s="7" t="s">
        <v>3</v>
      </c>
      <c r="AD56" s="7" t="s">
        <v>3</v>
      </c>
      <c r="AE56" s="7" t="s">
        <v>3</v>
      </c>
      <c r="AF56" s="7" t="s">
        <v>3</v>
      </c>
      <c r="AG56" s="7" t="s">
        <v>3</v>
      </c>
      <c r="AH56" s="7" t="s">
        <v>3</v>
      </c>
      <c r="AI56" s="7"/>
      <c r="AJ56" s="7"/>
      <c r="AK56" s="7"/>
      <c r="AL56" s="7"/>
      <c r="AM56" s="7"/>
      <c r="AN56" s="7">
        <v>55671156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C4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55670666</v>
      </c>
      <c r="C1">
        <v>55670843</v>
      </c>
      <c r="D1">
        <v>44800255</v>
      </c>
      <c r="E1">
        <v>54</v>
      </c>
      <c r="F1">
        <v>1</v>
      </c>
      <c r="G1">
        <v>1</v>
      </c>
      <c r="H1">
        <v>1</v>
      </c>
      <c r="I1" t="s">
        <v>227</v>
      </c>
      <c r="K1" t="s">
        <v>228</v>
      </c>
      <c r="L1">
        <v>1191</v>
      </c>
      <c r="N1">
        <v>1013</v>
      </c>
      <c r="O1" t="s">
        <v>229</v>
      </c>
      <c r="P1" t="s">
        <v>229</v>
      </c>
      <c r="Q1">
        <v>1</v>
      </c>
      <c r="W1">
        <v>0</v>
      </c>
      <c r="X1">
        <v>1010519658</v>
      </c>
      <c r="Y1">
        <v>80.73</v>
      </c>
      <c r="AA1">
        <v>0</v>
      </c>
      <c r="AB1">
        <v>0</v>
      </c>
      <c r="AC1">
        <v>0</v>
      </c>
      <c r="AD1">
        <v>8.64</v>
      </c>
      <c r="AE1">
        <v>0</v>
      </c>
      <c r="AF1">
        <v>0</v>
      </c>
      <c r="AG1">
        <v>0</v>
      </c>
      <c r="AH1">
        <v>8.64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T1">
        <v>70.2</v>
      </c>
      <c r="AU1" t="s">
        <v>32</v>
      </c>
      <c r="AV1">
        <v>1</v>
      </c>
      <c r="AW1">
        <v>2</v>
      </c>
      <c r="AX1">
        <v>55670850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32.292</v>
      </c>
      <c r="CY1">
        <f>AD1</f>
        <v>8.64</v>
      </c>
      <c r="CZ1">
        <f>AH1</f>
        <v>8.64</v>
      </c>
      <c r="DA1">
        <f>AL1</f>
        <v>1</v>
      </c>
      <c r="DB1">
        <f>ROUND((ROUND(AT1*CZ1,2)*ROUND(1.15,7)),2)</f>
        <v>697.51</v>
      </c>
      <c r="DC1">
        <f>ROUND((ROUND(AT1*AG1,2)*ROUND(1.15,7)),2)</f>
        <v>0</v>
      </c>
    </row>
    <row r="2" spans="1:107" ht="12.75">
      <c r="A2">
        <f>ROW(Source!A28)</f>
        <v>28</v>
      </c>
      <c r="B2">
        <v>55670666</v>
      </c>
      <c r="C2">
        <v>55670843</v>
      </c>
      <c r="D2">
        <v>44800452</v>
      </c>
      <c r="E2">
        <v>54</v>
      </c>
      <c r="F2">
        <v>1</v>
      </c>
      <c r="G2">
        <v>1</v>
      </c>
      <c r="H2">
        <v>1</v>
      </c>
      <c r="I2" t="s">
        <v>230</v>
      </c>
      <c r="K2" t="s">
        <v>231</v>
      </c>
      <c r="L2">
        <v>1191</v>
      </c>
      <c r="N2">
        <v>1013</v>
      </c>
      <c r="O2" t="s">
        <v>229</v>
      </c>
      <c r="P2" t="s">
        <v>229</v>
      </c>
      <c r="Q2">
        <v>1</v>
      </c>
      <c r="W2">
        <v>0</v>
      </c>
      <c r="X2">
        <v>-1417349443</v>
      </c>
      <c r="Y2">
        <v>0.22499999999999998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T2">
        <v>0.18</v>
      </c>
      <c r="AU2" t="s">
        <v>31</v>
      </c>
      <c r="AV2">
        <v>2</v>
      </c>
      <c r="AW2">
        <v>2</v>
      </c>
      <c r="AX2">
        <v>55670851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0.09</v>
      </c>
      <c r="CY2">
        <f>AD2</f>
        <v>0</v>
      </c>
      <c r="CZ2">
        <f>AH2</f>
        <v>0</v>
      </c>
      <c r="DA2">
        <f>AL2</f>
        <v>1</v>
      </c>
      <c r="DB2">
        <f>ROUND((ROUND(AT2*CZ2,2)*ROUND(1.25,7)),2)</f>
        <v>0</v>
      </c>
      <c r="DC2">
        <f>ROUND((ROUND(AT2*AG2,2)*ROUND(1.25,7)),2)</f>
        <v>0</v>
      </c>
    </row>
    <row r="3" spans="1:107" ht="12.75">
      <c r="A3">
        <f>ROW(Source!A28)</f>
        <v>28</v>
      </c>
      <c r="B3">
        <v>55670666</v>
      </c>
      <c r="C3">
        <v>55670843</v>
      </c>
      <c r="D3">
        <v>44977280</v>
      </c>
      <c r="E3">
        <v>1</v>
      </c>
      <c r="F3">
        <v>1</v>
      </c>
      <c r="G3">
        <v>1</v>
      </c>
      <c r="H3">
        <v>2</v>
      </c>
      <c r="I3" t="s">
        <v>232</v>
      </c>
      <c r="J3" t="s">
        <v>233</v>
      </c>
      <c r="K3" t="s">
        <v>234</v>
      </c>
      <c r="L3">
        <v>1368</v>
      </c>
      <c r="N3">
        <v>1011</v>
      </c>
      <c r="O3" t="s">
        <v>235</v>
      </c>
      <c r="P3" t="s">
        <v>235</v>
      </c>
      <c r="Q3">
        <v>1</v>
      </c>
      <c r="W3">
        <v>0</v>
      </c>
      <c r="X3">
        <v>-1057454432</v>
      </c>
      <c r="Y3">
        <v>0.22499999999999998</v>
      </c>
      <c r="AA3">
        <v>0</v>
      </c>
      <c r="AB3">
        <v>65.71</v>
      </c>
      <c r="AC3">
        <v>11.6</v>
      </c>
      <c r="AD3">
        <v>0</v>
      </c>
      <c r="AE3">
        <v>0</v>
      </c>
      <c r="AF3">
        <v>65.71</v>
      </c>
      <c r="AG3">
        <v>11.6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T3">
        <v>0.18</v>
      </c>
      <c r="AU3" t="s">
        <v>31</v>
      </c>
      <c r="AV3">
        <v>0</v>
      </c>
      <c r="AW3">
        <v>2</v>
      </c>
      <c r="AX3">
        <v>55670852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0.09</v>
      </c>
      <c r="CY3">
        <f>AB3</f>
        <v>65.71</v>
      </c>
      <c r="CZ3">
        <f>AF3</f>
        <v>65.71</v>
      </c>
      <c r="DA3">
        <f>AJ3</f>
        <v>1</v>
      </c>
      <c r="DB3">
        <f>ROUND((ROUND(AT3*CZ3,2)*ROUND(1.25,7)),2)</f>
        <v>14.79</v>
      </c>
      <c r="DC3">
        <f>ROUND((ROUND(AT3*AG3,2)*ROUND(1.25,7)),2)</f>
        <v>2.61</v>
      </c>
    </row>
    <row r="4" spans="1:107" ht="12.75">
      <c r="A4">
        <f>ROW(Source!A28)</f>
        <v>28</v>
      </c>
      <c r="B4">
        <v>55670666</v>
      </c>
      <c r="C4">
        <v>55670843</v>
      </c>
      <c r="D4">
        <v>44815662</v>
      </c>
      <c r="E4">
        <v>1</v>
      </c>
      <c r="F4">
        <v>1</v>
      </c>
      <c r="G4">
        <v>1</v>
      </c>
      <c r="H4">
        <v>3</v>
      </c>
      <c r="I4" t="s">
        <v>236</v>
      </c>
      <c r="J4" t="s">
        <v>237</v>
      </c>
      <c r="K4" t="s">
        <v>238</v>
      </c>
      <c r="L4">
        <v>1339</v>
      </c>
      <c r="N4">
        <v>1007</v>
      </c>
      <c r="O4" t="s">
        <v>239</v>
      </c>
      <c r="P4" t="s">
        <v>239</v>
      </c>
      <c r="Q4">
        <v>1</v>
      </c>
      <c r="W4">
        <v>0</v>
      </c>
      <c r="X4">
        <v>-1247958079</v>
      </c>
      <c r="Y4">
        <v>0.008</v>
      </c>
      <c r="AA4">
        <v>1100</v>
      </c>
      <c r="AB4">
        <v>0</v>
      </c>
      <c r="AC4">
        <v>0</v>
      </c>
      <c r="AD4">
        <v>0</v>
      </c>
      <c r="AE4">
        <v>1100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0.008</v>
      </c>
      <c r="AV4">
        <v>0</v>
      </c>
      <c r="AW4">
        <v>2</v>
      </c>
      <c r="AX4">
        <v>55670853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0.0032</v>
      </c>
      <c r="CY4">
        <f>AA4</f>
        <v>1100</v>
      </c>
      <c r="CZ4">
        <f>AE4</f>
        <v>1100</v>
      </c>
      <c r="DA4">
        <f>AI4</f>
        <v>1</v>
      </c>
      <c r="DB4">
        <f>ROUND(ROUND(AT4*CZ4,2),2)</f>
        <v>8.8</v>
      </c>
      <c r="DC4">
        <f>ROUND(ROUND(AT4*AG4,2),2)</f>
        <v>0</v>
      </c>
    </row>
    <row r="5" spans="1:107" ht="12.75">
      <c r="A5">
        <f>ROW(Source!A28)</f>
        <v>28</v>
      </c>
      <c r="B5">
        <v>55670666</v>
      </c>
      <c r="C5">
        <v>55670843</v>
      </c>
      <c r="D5">
        <v>44815664</v>
      </c>
      <c r="E5">
        <v>1</v>
      </c>
      <c r="F5">
        <v>1</v>
      </c>
      <c r="G5">
        <v>1</v>
      </c>
      <c r="H5">
        <v>3</v>
      </c>
      <c r="I5" t="s">
        <v>240</v>
      </c>
      <c r="J5" t="s">
        <v>241</v>
      </c>
      <c r="K5" t="s">
        <v>242</v>
      </c>
      <c r="L5">
        <v>1348</v>
      </c>
      <c r="N5">
        <v>1009</v>
      </c>
      <c r="O5" t="s">
        <v>65</v>
      </c>
      <c r="P5" t="s">
        <v>65</v>
      </c>
      <c r="Q5">
        <v>1000</v>
      </c>
      <c r="W5">
        <v>0</v>
      </c>
      <c r="X5">
        <v>-1785850303</v>
      </c>
      <c r="Y5">
        <v>0.029</v>
      </c>
      <c r="AA5">
        <v>6102</v>
      </c>
      <c r="AB5">
        <v>0</v>
      </c>
      <c r="AC5">
        <v>0</v>
      </c>
      <c r="AD5">
        <v>0</v>
      </c>
      <c r="AE5">
        <v>6102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T5">
        <v>0.029</v>
      </c>
      <c r="AV5">
        <v>0</v>
      </c>
      <c r="AW5">
        <v>2</v>
      </c>
      <c r="AX5">
        <v>55670854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0.011600000000000001</v>
      </c>
      <c r="CY5">
        <f>AA5</f>
        <v>6102</v>
      </c>
      <c r="CZ5">
        <f>AE5</f>
        <v>6102</v>
      </c>
      <c r="DA5">
        <f>AI5</f>
        <v>1</v>
      </c>
      <c r="DB5">
        <f>ROUND(ROUND(AT5*CZ5,2),2)</f>
        <v>176.96</v>
      </c>
      <c r="DC5">
        <f>ROUND(ROUND(AT5*AG5,2),2)</f>
        <v>0</v>
      </c>
    </row>
    <row r="6" spans="1:107" ht="12.75">
      <c r="A6">
        <f>ROW(Source!A28)</f>
        <v>28</v>
      </c>
      <c r="B6">
        <v>55670666</v>
      </c>
      <c r="C6">
        <v>55670843</v>
      </c>
      <c r="D6">
        <v>44841949</v>
      </c>
      <c r="E6">
        <v>1</v>
      </c>
      <c r="F6">
        <v>1</v>
      </c>
      <c r="G6">
        <v>1</v>
      </c>
      <c r="H6">
        <v>3</v>
      </c>
      <c r="I6" t="s">
        <v>243</v>
      </c>
      <c r="J6" t="s">
        <v>244</v>
      </c>
      <c r="K6" t="s">
        <v>245</v>
      </c>
      <c r="L6">
        <v>1327</v>
      </c>
      <c r="N6">
        <v>1005</v>
      </c>
      <c r="O6" t="s">
        <v>56</v>
      </c>
      <c r="P6" t="s">
        <v>56</v>
      </c>
      <c r="Q6">
        <v>1</v>
      </c>
      <c r="W6">
        <v>0</v>
      </c>
      <c r="X6">
        <v>-1448376696</v>
      </c>
      <c r="Y6">
        <v>5.5</v>
      </c>
      <c r="AA6">
        <v>35.22</v>
      </c>
      <c r="AB6">
        <v>0</v>
      </c>
      <c r="AC6">
        <v>0</v>
      </c>
      <c r="AD6">
        <v>0</v>
      </c>
      <c r="AE6">
        <v>35.22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5.5</v>
      </c>
      <c r="AV6">
        <v>0</v>
      </c>
      <c r="AW6">
        <v>2</v>
      </c>
      <c r="AX6">
        <v>55670855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Y6*Source!I28</f>
        <v>2.2</v>
      </c>
      <c r="CY6">
        <f>AA6</f>
        <v>35.22</v>
      </c>
      <c r="CZ6">
        <f>AE6</f>
        <v>35.22</v>
      </c>
      <c r="DA6">
        <f>AI6</f>
        <v>1</v>
      </c>
      <c r="DB6">
        <f>ROUND(ROUND(AT6*CZ6,2),2)</f>
        <v>193.71</v>
      </c>
      <c r="DC6">
        <f>ROUND(ROUND(AT6*AG6,2),2)</f>
        <v>0</v>
      </c>
    </row>
    <row r="7" spans="1:107" ht="12.75">
      <c r="A7">
        <f>ROW(Source!A29)</f>
        <v>29</v>
      </c>
      <c r="B7">
        <v>55671155</v>
      </c>
      <c r="C7">
        <v>55670843</v>
      </c>
      <c r="D7">
        <v>44800255</v>
      </c>
      <c r="E7">
        <v>54</v>
      </c>
      <c r="F7">
        <v>1</v>
      </c>
      <c r="G7">
        <v>1</v>
      </c>
      <c r="H7">
        <v>1</v>
      </c>
      <c r="I7" t="s">
        <v>227</v>
      </c>
      <c r="K7" t="s">
        <v>228</v>
      </c>
      <c r="L7">
        <v>1191</v>
      </c>
      <c r="N7">
        <v>1013</v>
      </c>
      <c r="O7" t="s">
        <v>229</v>
      </c>
      <c r="P7" t="s">
        <v>229</v>
      </c>
      <c r="Q7">
        <v>1</v>
      </c>
      <c r="W7">
        <v>0</v>
      </c>
      <c r="X7">
        <v>1010519658</v>
      </c>
      <c r="Y7">
        <v>80.73</v>
      </c>
      <c r="AA7">
        <v>0</v>
      </c>
      <c r="AB7">
        <v>0</v>
      </c>
      <c r="AC7">
        <v>0</v>
      </c>
      <c r="AD7">
        <v>322.62</v>
      </c>
      <c r="AE7">
        <v>0</v>
      </c>
      <c r="AF7">
        <v>0</v>
      </c>
      <c r="AG7">
        <v>0</v>
      </c>
      <c r="AH7">
        <v>8.64</v>
      </c>
      <c r="AI7">
        <v>1</v>
      </c>
      <c r="AJ7">
        <v>1</v>
      </c>
      <c r="AK7">
        <v>1</v>
      </c>
      <c r="AL7">
        <v>37.34</v>
      </c>
      <c r="AN7">
        <v>0</v>
      </c>
      <c r="AO7">
        <v>1</v>
      </c>
      <c r="AP7">
        <v>1</v>
      </c>
      <c r="AQ7">
        <v>0</v>
      </c>
      <c r="AR7">
        <v>0</v>
      </c>
      <c r="AT7">
        <v>70.2</v>
      </c>
      <c r="AU7" t="s">
        <v>32</v>
      </c>
      <c r="AV7">
        <v>1</v>
      </c>
      <c r="AW7">
        <v>2</v>
      </c>
      <c r="AX7">
        <v>55670850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Y7*Source!I29</f>
        <v>32.292</v>
      </c>
      <c r="CY7">
        <f>AD7</f>
        <v>322.62</v>
      </c>
      <c r="CZ7">
        <f>AH7</f>
        <v>8.64</v>
      </c>
      <c r="DA7">
        <f>AL7</f>
        <v>37.34</v>
      </c>
      <c r="DB7">
        <f>ROUND((ROUND(AT7*CZ7,2)*ROUND(1.15,7)),2)</f>
        <v>697.51</v>
      </c>
      <c r="DC7">
        <f>ROUND((ROUND(AT7*AG7,2)*ROUND(1.15,7)),2)</f>
        <v>0</v>
      </c>
    </row>
    <row r="8" spans="1:107" ht="12.75">
      <c r="A8">
        <f>ROW(Source!A29)</f>
        <v>29</v>
      </c>
      <c r="B8">
        <v>55671155</v>
      </c>
      <c r="C8">
        <v>55670843</v>
      </c>
      <c r="D8">
        <v>44800452</v>
      </c>
      <c r="E8">
        <v>54</v>
      </c>
      <c r="F8">
        <v>1</v>
      </c>
      <c r="G8">
        <v>1</v>
      </c>
      <c r="H8">
        <v>1</v>
      </c>
      <c r="I8" t="s">
        <v>230</v>
      </c>
      <c r="K8" t="s">
        <v>231</v>
      </c>
      <c r="L8">
        <v>1191</v>
      </c>
      <c r="N8">
        <v>1013</v>
      </c>
      <c r="O8" t="s">
        <v>229</v>
      </c>
      <c r="P8" t="s">
        <v>229</v>
      </c>
      <c r="Q8">
        <v>1</v>
      </c>
      <c r="W8">
        <v>0</v>
      </c>
      <c r="X8">
        <v>-1417349443</v>
      </c>
      <c r="Y8">
        <v>0.22499999999999998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37.34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T8">
        <v>0.18</v>
      </c>
      <c r="AU8" t="s">
        <v>31</v>
      </c>
      <c r="AV8">
        <v>2</v>
      </c>
      <c r="AW8">
        <v>2</v>
      </c>
      <c r="AX8">
        <v>55670851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Y8*Source!I29</f>
        <v>0.09</v>
      </c>
      <c r="CY8">
        <f>AD8</f>
        <v>0</v>
      </c>
      <c r="CZ8">
        <f>AH8</f>
        <v>0</v>
      </c>
      <c r="DA8">
        <f>AL8</f>
        <v>1</v>
      </c>
      <c r="DB8">
        <f>ROUND((ROUND(AT8*CZ8,2)*ROUND(1.25,7)),2)</f>
        <v>0</v>
      </c>
      <c r="DC8">
        <f>ROUND((ROUND(AT8*AG8,2)*ROUND(1.25,7)),2)</f>
        <v>0</v>
      </c>
    </row>
    <row r="9" spans="1:107" ht="12.75">
      <c r="A9">
        <f>ROW(Source!A29)</f>
        <v>29</v>
      </c>
      <c r="B9">
        <v>55671155</v>
      </c>
      <c r="C9">
        <v>55670843</v>
      </c>
      <c r="D9">
        <v>44977280</v>
      </c>
      <c r="E9">
        <v>1</v>
      </c>
      <c r="F9">
        <v>1</v>
      </c>
      <c r="G9">
        <v>1</v>
      </c>
      <c r="H9">
        <v>2</v>
      </c>
      <c r="I9" t="s">
        <v>232</v>
      </c>
      <c r="J9" t="s">
        <v>233</v>
      </c>
      <c r="K9" t="s">
        <v>234</v>
      </c>
      <c r="L9">
        <v>1368</v>
      </c>
      <c r="N9">
        <v>1011</v>
      </c>
      <c r="O9" t="s">
        <v>235</v>
      </c>
      <c r="P9" t="s">
        <v>235</v>
      </c>
      <c r="Q9">
        <v>1</v>
      </c>
      <c r="W9">
        <v>0</v>
      </c>
      <c r="X9">
        <v>-1057454432</v>
      </c>
      <c r="Y9">
        <v>0.22499999999999998</v>
      </c>
      <c r="AA9">
        <v>0</v>
      </c>
      <c r="AB9">
        <v>870</v>
      </c>
      <c r="AC9">
        <v>433.14</v>
      </c>
      <c r="AD9">
        <v>0</v>
      </c>
      <c r="AE9">
        <v>0</v>
      </c>
      <c r="AF9">
        <v>65.71</v>
      </c>
      <c r="AG9">
        <v>11.6</v>
      </c>
      <c r="AH9">
        <v>0</v>
      </c>
      <c r="AI9">
        <v>1</v>
      </c>
      <c r="AJ9">
        <v>13.24</v>
      </c>
      <c r="AK9">
        <v>37.34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T9">
        <v>0.18</v>
      </c>
      <c r="AU9" t="s">
        <v>31</v>
      </c>
      <c r="AV9">
        <v>0</v>
      </c>
      <c r="AW9">
        <v>2</v>
      </c>
      <c r="AX9">
        <v>55670852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Y9*Source!I29</f>
        <v>0.09</v>
      </c>
      <c r="CY9">
        <f>AB9</f>
        <v>870</v>
      </c>
      <c r="CZ9">
        <f>AF9</f>
        <v>65.71</v>
      </c>
      <c r="DA9">
        <f>AJ9</f>
        <v>13.24</v>
      </c>
      <c r="DB9">
        <f>ROUND((ROUND(AT9*CZ9,2)*ROUND(1.25,7)),2)</f>
        <v>14.79</v>
      </c>
      <c r="DC9">
        <f>ROUND((ROUND(AT9*AG9,2)*ROUND(1.25,7)),2)</f>
        <v>2.61</v>
      </c>
    </row>
    <row r="10" spans="1:107" ht="12.75">
      <c r="A10">
        <f>ROW(Source!A29)</f>
        <v>29</v>
      </c>
      <c r="B10">
        <v>55671155</v>
      </c>
      <c r="C10">
        <v>55670843</v>
      </c>
      <c r="D10">
        <v>44815662</v>
      </c>
      <c r="E10">
        <v>1</v>
      </c>
      <c r="F10">
        <v>1</v>
      </c>
      <c r="G10">
        <v>1</v>
      </c>
      <c r="H10">
        <v>3</v>
      </c>
      <c r="I10" t="s">
        <v>236</v>
      </c>
      <c r="J10" t="s">
        <v>237</v>
      </c>
      <c r="K10" t="s">
        <v>238</v>
      </c>
      <c r="L10">
        <v>1339</v>
      </c>
      <c r="N10">
        <v>1007</v>
      </c>
      <c r="O10" t="s">
        <v>239</v>
      </c>
      <c r="P10" t="s">
        <v>239</v>
      </c>
      <c r="Q10">
        <v>1</v>
      </c>
      <c r="W10">
        <v>0</v>
      </c>
      <c r="X10">
        <v>-1247958079</v>
      </c>
      <c r="Y10">
        <v>0.008</v>
      </c>
      <c r="AA10">
        <v>7392</v>
      </c>
      <c r="AB10">
        <v>0</v>
      </c>
      <c r="AC10">
        <v>0</v>
      </c>
      <c r="AD10">
        <v>0</v>
      </c>
      <c r="AE10">
        <v>1100</v>
      </c>
      <c r="AF10">
        <v>0</v>
      </c>
      <c r="AG10">
        <v>0</v>
      </c>
      <c r="AH10">
        <v>0</v>
      </c>
      <c r="AI10">
        <v>6.72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0.008</v>
      </c>
      <c r="AV10">
        <v>0</v>
      </c>
      <c r="AW10">
        <v>2</v>
      </c>
      <c r="AX10">
        <v>55670853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0.0032</v>
      </c>
      <c r="CY10">
        <f>AA10</f>
        <v>7392</v>
      </c>
      <c r="CZ10">
        <f>AE10</f>
        <v>1100</v>
      </c>
      <c r="DA10">
        <f>AI10</f>
        <v>6.72</v>
      </c>
      <c r="DB10">
        <f aca="true" t="shared" si="0" ref="DB10:DB30">ROUND(ROUND(AT10*CZ10,2),2)</f>
        <v>8.8</v>
      </c>
      <c r="DC10">
        <f aca="true" t="shared" si="1" ref="DC10:DC30">ROUND(ROUND(AT10*AG10,2),2)</f>
        <v>0</v>
      </c>
    </row>
    <row r="11" spans="1:107" ht="12.75">
      <c r="A11">
        <f>ROW(Source!A29)</f>
        <v>29</v>
      </c>
      <c r="B11">
        <v>55671155</v>
      </c>
      <c r="C11">
        <v>55670843</v>
      </c>
      <c r="D11">
        <v>44815664</v>
      </c>
      <c r="E11">
        <v>1</v>
      </c>
      <c r="F11">
        <v>1</v>
      </c>
      <c r="G11">
        <v>1</v>
      </c>
      <c r="H11">
        <v>3</v>
      </c>
      <c r="I11" t="s">
        <v>240</v>
      </c>
      <c r="J11" t="s">
        <v>241</v>
      </c>
      <c r="K11" t="s">
        <v>242</v>
      </c>
      <c r="L11">
        <v>1348</v>
      </c>
      <c r="N11">
        <v>1009</v>
      </c>
      <c r="O11" t="s">
        <v>65</v>
      </c>
      <c r="P11" t="s">
        <v>65</v>
      </c>
      <c r="Q11">
        <v>1000</v>
      </c>
      <c r="W11">
        <v>0</v>
      </c>
      <c r="X11">
        <v>-1785850303</v>
      </c>
      <c r="Y11">
        <v>0.029</v>
      </c>
      <c r="AA11">
        <v>41005.44</v>
      </c>
      <c r="AB11">
        <v>0</v>
      </c>
      <c r="AC11">
        <v>0</v>
      </c>
      <c r="AD11">
        <v>0</v>
      </c>
      <c r="AE11">
        <v>6102</v>
      </c>
      <c r="AF11">
        <v>0</v>
      </c>
      <c r="AG11">
        <v>0</v>
      </c>
      <c r="AH11">
        <v>0</v>
      </c>
      <c r="AI11">
        <v>6.72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0.029</v>
      </c>
      <c r="AV11">
        <v>0</v>
      </c>
      <c r="AW11">
        <v>2</v>
      </c>
      <c r="AX11">
        <v>55670854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0.011600000000000001</v>
      </c>
      <c r="CY11">
        <f>AA11</f>
        <v>41005.44</v>
      </c>
      <c r="CZ11">
        <f>AE11</f>
        <v>6102</v>
      </c>
      <c r="DA11">
        <f>AI11</f>
        <v>6.72</v>
      </c>
      <c r="DB11">
        <f t="shared" si="0"/>
        <v>176.96</v>
      </c>
      <c r="DC11">
        <f t="shared" si="1"/>
        <v>0</v>
      </c>
    </row>
    <row r="12" spans="1:107" ht="12.75">
      <c r="A12">
        <f>ROW(Source!A29)</f>
        <v>29</v>
      </c>
      <c r="B12">
        <v>55671155</v>
      </c>
      <c r="C12">
        <v>55670843</v>
      </c>
      <c r="D12">
        <v>44841949</v>
      </c>
      <c r="E12">
        <v>1</v>
      </c>
      <c r="F12">
        <v>1</v>
      </c>
      <c r="G12">
        <v>1</v>
      </c>
      <c r="H12">
        <v>3</v>
      </c>
      <c r="I12" t="s">
        <v>243</v>
      </c>
      <c r="J12" t="s">
        <v>244</v>
      </c>
      <c r="K12" t="s">
        <v>245</v>
      </c>
      <c r="L12">
        <v>1327</v>
      </c>
      <c r="N12">
        <v>1005</v>
      </c>
      <c r="O12" t="s">
        <v>56</v>
      </c>
      <c r="P12" t="s">
        <v>56</v>
      </c>
      <c r="Q12">
        <v>1</v>
      </c>
      <c r="W12">
        <v>0</v>
      </c>
      <c r="X12">
        <v>-1448376696</v>
      </c>
      <c r="Y12">
        <v>5.5</v>
      </c>
      <c r="AA12">
        <v>236.68</v>
      </c>
      <c r="AB12">
        <v>0</v>
      </c>
      <c r="AC12">
        <v>0</v>
      </c>
      <c r="AD12">
        <v>0</v>
      </c>
      <c r="AE12">
        <v>35.22</v>
      </c>
      <c r="AF12">
        <v>0</v>
      </c>
      <c r="AG12">
        <v>0</v>
      </c>
      <c r="AH12">
        <v>0</v>
      </c>
      <c r="AI12">
        <v>6.72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5.5</v>
      </c>
      <c r="AV12">
        <v>0</v>
      </c>
      <c r="AW12">
        <v>2</v>
      </c>
      <c r="AX12">
        <v>55670855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2.2</v>
      </c>
      <c r="CY12">
        <f>AA12</f>
        <v>236.68</v>
      </c>
      <c r="CZ12">
        <f>AE12</f>
        <v>35.22</v>
      </c>
      <c r="DA12">
        <f>AI12</f>
        <v>6.72</v>
      </c>
      <c r="DB12">
        <f t="shared" si="0"/>
        <v>193.71</v>
      </c>
      <c r="DC12">
        <f t="shared" si="1"/>
        <v>0</v>
      </c>
    </row>
    <row r="13" spans="1:107" ht="12.75">
      <c r="A13">
        <f>ROW(Source!A30)</f>
        <v>30</v>
      </c>
      <c r="B13">
        <v>55670666</v>
      </c>
      <c r="C13">
        <v>55670856</v>
      </c>
      <c r="D13">
        <v>44800280</v>
      </c>
      <c r="E13">
        <v>54</v>
      </c>
      <c r="F13">
        <v>1</v>
      </c>
      <c r="G13">
        <v>1</v>
      </c>
      <c r="H13">
        <v>1</v>
      </c>
      <c r="I13" t="s">
        <v>246</v>
      </c>
      <c r="K13" t="s">
        <v>247</v>
      </c>
      <c r="L13">
        <v>1191</v>
      </c>
      <c r="N13">
        <v>1013</v>
      </c>
      <c r="O13" t="s">
        <v>229</v>
      </c>
      <c r="P13" t="s">
        <v>229</v>
      </c>
      <c r="Q13">
        <v>1</v>
      </c>
      <c r="W13">
        <v>0</v>
      </c>
      <c r="X13">
        <v>-1027537862</v>
      </c>
      <c r="Y13">
        <v>132</v>
      </c>
      <c r="AA13">
        <v>0</v>
      </c>
      <c r="AB13">
        <v>0</v>
      </c>
      <c r="AC13">
        <v>0</v>
      </c>
      <c r="AD13">
        <v>9.18</v>
      </c>
      <c r="AE13">
        <v>0</v>
      </c>
      <c r="AF13">
        <v>0</v>
      </c>
      <c r="AG13">
        <v>0</v>
      </c>
      <c r="AH13">
        <v>9.18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132</v>
      </c>
      <c r="AV13">
        <v>1</v>
      </c>
      <c r="AW13">
        <v>2</v>
      </c>
      <c r="AX13">
        <v>55670866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367.1712</v>
      </c>
      <c r="CY13">
        <f>AD13</f>
        <v>9.18</v>
      </c>
      <c r="CZ13">
        <f>AH13</f>
        <v>9.18</v>
      </c>
      <c r="DA13">
        <f>AL13</f>
        <v>1</v>
      </c>
      <c r="DB13">
        <f t="shared" si="0"/>
        <v>1211.76</v>
      </c>
      <c r="DC13">
        <f t="shared" si="1"/>
        <v>0</v>
      </c>
    </row>
    <row r="14" spans="1:107" ht="12.75">
      <c r="A14">
        <f>ROW(Source!A30)</f>
        <v>30</v>
      </c>
      <c r="B14">
        <v>55670666</v>
      </c>
      <c r="C14">
        <v>55670856</v>
      </c>
      <c r="D14">
        <v>44800452</v>
      </c>
      <c r="E14">
        <v>54</v>
      </c>
      <c r="F14">
        <v>1</v>
      </c>
      <c r="G14">
        <v>1</v>
      </c>
      <c r="H14">
        <v>1</v>
      </c>
      <c r="I14" t="s">
        <v>230</v>
      </c>
      <c r="K14" t="s">
        <v>231</v>
      </c>
      <c r="L14">
        <v>1191</v>
      </c>
      <c r="N14">
        <v>1013</v>
      </c>
      <c r="O14" t="s">
        <v>229</v>
      </c>
      <c r="P14" t="s">
        <v>229</v>
      </c>
      <c r="Q14">
        <v>1</v>
      </c>
      <c r="W14">
        <v>0</v>
      </c>
      <c r="X14">
        <v>-1417349443</v>
      </c>
      <c r="Y14">
        <v>0.5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0.5</v>
      </c>
      <c r="AV14">
        <v>2</v>
      </c>
      <c r="AW14">
        <v>2</v>
      </c>
      <c r="AX14">
        <v>55670867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1.3908</v>
      </c>
      <c r="CY14">
        <f>AD14</f>
        <v>0</v>
      </c>
      <c r="CZ14">
        <f>AH14</f>
        <v>0</v>
      </c>
      <c r="DA14">
        <f>AL14</f>
        <v>1</v>
      </c>
      <c r="DB14">
        <f t="shared" si="0"/>
        <v>0</v>
      </c>
      <c r="DC14">
        <f t="shared" si="1"/>
        <v>0</v>
      </c>
    </row>
    <row r="15" spans="1:107" ht="12.75">
      <c r="A15">
        <f>ROW(Source!A30)</f>
        <v>30</v>
      </c>
      <c r="B15">
        <v>55670666</v>
      </c>
      <c r="C15">
        <v>55670856</v>
      </c>
      <c r="D15">
        <v>44976465</v>
      </c>
      <c r="E15">
        <v>1</v>
      </c>
      <c r="F15">
        <v>1</v>
      </c>
      <c r="G15">
        <v>1</v>
      </c>
      <c r="H15">
        <v>2</v>
      </c>
      <c r="I15" t="s">
        <v>248</v>
      </c>
      <c r="J15" t="s">
        <v>249</v>
      </c>
      <c r="K15" t="s">
        <v>250</v>
      </c>
      <c r="L15">
        <v>1368</v>
      </c>
      <c r="N15">
        <v>1011</v>
      </c>
      <c r="O15" t="s">
        <v>235</v>
      </c>
      <c r="P15" t="s">
        <v>235</v>
      </c>
      <c r="Q15">
        <v>1</v>
      </c>
      <c r="W15">
        <v>0</v>
      </c>
      <c r="X15">
        <v>2085189525</v>
      </c>
      <c r="Y15">
        <v>0.25</v>
      </c>
      <c r="AA15">
        <v>0</v>
      </c>
      <c r="AB15">
        <v>31.26</v>
      </c>
      <c r="AC15">
        <v>13.5</v>
      </c>
      <c r="AD15">
        <v>0</v>
      </c>
      <c r="AE15">
        <v>0</v>
      </c>
      <c r="AF15">
        <v>31.26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0.25</v>
      </c>
      <c r="AV15">
        <v>0</v>
      </c>
      <c r="AW15">
        <v>2</v>
      </c>
      <c r="AX15">
        <v>55670868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0.6954</v>
      </c>
      <c r="CY15">
        <f>AB15</f>
        <v>31.26</v>
      </c>
      <c r="CZ15">
        <f>AF15</f>
        <v>31.26</v>
      </c>
      <c r="DA15">
        <f>AJ15</f>
        <v>1</v>
      </c>
      <c r="DB15">
        <f t="shared" si="0"/>
        <v>7.82</v>
      </c>
      <c r="DC15">
        <f t="shared" si="1"/>
        <v>3.38</v>
      </c>
    </row>
    <row r="16" spans="1:107" ht="12.75">
      <c r="A16">
        <f>ROW(Source!A30)</f>
        <v>30</v>
      </c>
      <c r="B16">
        <v>55670666</v>
      </c>
      <c r="C16">
        <v>55670856</v>
      </c>
      <c r="D16">
        <v>44977280</v>
      </c>
      <c r="E16">
        <v>1</v>
      </c>
      <c r="F16">
        <v>1</v>
      </c>
      <c r="G16">
        <v>1</v>
      </c>
      <c r="H16">
        <v>2</v>
      </c>
      <c r="I16" t="s">
        <v>232</v>
      </c>
      <c r="J16" t="s">
        <v>233</v>
      </c>
      <c r="K16" t="s">
        <v>234</v>
      </c>
      <c r="L16">
        <v>1368</v>
      </c>
      <c r="N16">
        <v>1011</v>
      </c>
      <c r="O16" t="s">
        <v>235</v>
      </c>
      <c r="P16" t="s">
        <v>235</v>
      </c>
      <c r="Q16">
        <v>1</v>
      </c>
      <c r="W16">
        <v>0</v>
      </c>
      <c r="X16">
        <v>-1057454432</v>
      </c>
      <c r="Y16">
        <v>0.25</v>
      </c>
      <c r="AA16">
        <v>0</v>
      </c>
      <c r="AB16">
        <v>65.71</v>
      </c>
      <c r="AC16">
        <v>11.6</v>
      </c>
      <c r="AD16">
        <v>0</v>
      </c>
      <c r="AE16">
        <v>0</v>
      </c>
      <c r="AF16">
        <v>65.71</v>
      </c>
      <c r="AG16">
        <v>11.6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0.25</v>
      </c>
      <c r="AV16">
        <v>0</v>
      </c>
      <c r="AW16">
        <v>2</v>
      </c>
      <c r="AX16">
        <v>55670869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0.6954</v>
      </c>
      <c r="CY16">
        <f>AB16</f>
        <v>65.71</v>
      </c>
      <c r="CZ16">
        <f>AF16</f>
        <v>65.71</v>
      </c>
      <c r="DA16">
        <f>AJ16</f>
        <v>1</v>
      </c>
      <c r="DB16">
        <f t="shared" si="0"/>
        <v>16.43</v>
      </c>
      <c r="DC16">
        <f t="shared" si="1"/>
        <v>2.9</v>
      </c>
    </row>
    <row r="17" spans="1:107" ht="12.75">
      <c r="A17">
        <f>ROW(Source!A30)</f>
        <v>30</v>
      </c>
      <c r="B17">
        <v>55670666</v>
      </c>
      <c r="C17">
        <v>55670856</v>
      </c>
      <c r="D17">
        <v>44816214</v>
      </c>
      <c r="E17">
        <v>1</v>
      </c>
      <c r="F17">
        <v>1</v>
      </c>
      <c r="G17">
        <v>1</v>
      </c>
      <c r="H17">
        <v>3</v>
      </c>
      <c r="I17" t="s">
        <v>251</v>
      </c>
      <c r="J17" t="s">
        <v>252</v>
      </c>
      <c r="K17" t="s">
        <v>253</v>
      </c>
      <c r="L17">
        <v>1346</v>
      </c>
      <c r="N17">
        <v>1009</v>
      </c>
      <c r="O17" t="s">
        <v>254</v>
      </c>
      <c r="P17" t="s">
        <v>254</v>
      </c>
      <c r="Q17">
        <v>1</v>
      </c>
      <c r="W17">
        <v>0</v>
      </c>
      <c r="X17">
        <v>1692580353</v>
      </c>
      <c r="Y17">
        <v>38.6</v>
      </c>
      <c r="AA17">
        <v>23.09</v>
      </c>
      <c r="AB17">
        <v>0</v>
      </c>
      <c r="AC17">
        <v>0</v>
      </c>
      <c r="AD17">
        <v>0</v>
      </c>
      <c r="AE17">
        <v>23.09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38.6</v>
      </c>
      <c r="AV17">
        <v>0</v>
      </c>
      <c r="AW17">
        <v>2</v>
      </c>
      <c r="AX17">
        <v>55670870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107.36976000000001</v>
      </c>
      <c r="CY17">
        <f>AA17</f>
        <v>23.09</v>
      </c>
      <c r="CZ17">
        <f>AE17</f>
        <v>23.09</v>
      </c>
      <c r="DA17">
        <f>AI17</f>
        <v>1</v>
      </c>
      <c r="DB17">
        <f t="shared" si="0"/>
        <v>891.27</v>
      </c>
      <c r="DC17">
        <f t="shared" si="1"/>
        <v>0</v>
      </c>
    </row>
    <row r="18" spans="1:107" ht="12.75">
      <c r="A18">
        <f>ROW(Source!A30)</f>
        <v>30</v>
      </c>
      <c r="B18">
        <v>55670666</v>
      </c>
      <c r="C18">
        <v>55670856</v>
      </c>
      <c r="D18">
        <v>44816408</v>
      </c>
      <c r="E18">
        <v>1</v>
      </c>
      <c r="F18">
        <v>1</v>
      </c>
      <c r="G18">
        <v>1</v>
      </c>
      <c r="H18">
        <v>3</v>
      </c>
      <c r="I18" t="s">
        <v>255</v>
      </c>
      <c r="J18" t="s">
        <v>256</v>
      </c>
      <c r="K18" t="s">
        <v>257</v>
      </c>
      <c r="L18">
        <v>1346</v>
      </c>
      <c r="N18">
        <v>1009</v>
      </c>
      <c r="O18" t="s">
        <v>254</v>
      </c>
      <c r="P18" t="s">
        <v>254</v>
      </c>
      <c r="Q18">
        <v>1</v>
      </c>
      <c r="W18">
        <v>0</v>
      </c>
      <c r="X18">
        <v>-1536239735</v>
      </c>
      <c r="Y18">
        <v>0.2</v>
      </c>
      <c r="AA18">
        <v>1.82</v>
      </c>
      <c r="AB18">
        <v>0</v>
      </c>
      <c r="AC18">
        <v>0</v>
      </c>
      <c r="AD18">
        <v>0</v>
      </c>
      <c r="AE18">
        <v>1.82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0.2</v>
      </c>
      <c r="AV18">
        <v>0</v>
      </c>
      <c r="AW18">
        <v>2</v>
      </c>
      <c r="AX18">
        <v>55670871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0.55632</v>
      </c>
      <c r="CY18">
        <f>AA18</f>
        <v>1.82</v>
      </c>
      <c r="CZ18">
        <f>AE18</f>
        <v>1.82</v>
      </c>
      <c r="DA18">
        <f>AI18</f>
        <v>1</v>
      </c>
      <c r="DB18">
        <f t="shared" si="0"/>
        <v>0.36</v>
      </c>
      <c r="DC18">
        <f t="shared" si="1"/>
        <v>0</v>
      </c>
    </row>
    <row r="19" spans="1:107" ht="12.75">
      <c r="A19">
        <f>ROW(Source!A30)</f>
        <v>30</v>
      </c>
      <c r="B19">
        <v>55670666</v>
      </c>
      <c r="C19">
        <v>55670856</v>
      </c>
      <c r="D19">
        <v>44816742</v>
      </c>
      <c r="E19">
        <v>1</v>
      </c>
      <c r="F19">
        <v>1</v>
      </c>
      <c r="G19">
        <v>1</v>
      </c>
      <c r="H19">
        <v>3</v>
      </c>
      <c r="I19" t="s">
        <v>54</v>
      </c>
      <c r="J19" t="s">
        <v>57</v>
      </c>
      <c r="K19" t="s">
        <v>55</v>
      </c>
      <c r="L19">
        <v>1327</v>
      </c>
      <c r="N19">
        <v>1005</v>
      </c>
      <c r="O19" t="s">
        <v>56</v>
      </c>
      <c r="P19" t="s">
        <v>56</v>
      </c>
      <c r="Q19">
        <v>1</v>
      </c>
      <c r="W19">
        <v>0</v>
      </c>
      <c r="X19">
        <v>-150126821</v>
      </c>
      <c r="Y19">
        <v>20.736267</v>
      </c>
      <c r="AA19">
        <v>56.67</v>
      </c>
      <c r="AB19">
        <v>0</v>
      </c>
      <c r="AC19">
        <v>0</v>
      </c>
      <c r="AD19">
        <v>0</v>
      </c>
      <c r="AE19">
        <v>56.67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20.736267</v>
      </c>
      <c r="AV19">
        <v>0</v>
      </c>
      <c r="AW19">
        <v>1</v>
      </c>
      <c r="AX19">
        <v>-1</v>
      </c>
      <c r="AY19">
        <v>0</v>
      </c>
      <c r="AZ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57.68000028720001</v>
      </c>
      <c r="CY19">
        <f>AA19</f>
        <v>56.67</v>
      </c>
      <c r="CZ19">
        <f>AE19</f>
        <v>56.67</v>
      </c>
      <c r="DA19">
        <f>AI19</f>
        <v>1</v>
      </c>
      <c r="DB19">
        <f t="shared" si="0"/>
        <v>1175.12</v>
      </c>
      <c r="DC19">
        <f t="shared" si="1"/>
        <v>0</v>
      </c>
    </row>
    <row r="20" spans="1:107" ht="12.75">
      <c r="A20">
        <f>ROW(Source!A30)</f>
        <v>30</v>
      </c>
      <c r="B20">
        <v>55670666</v>
      </c>
      <c r="C20">
        <v>55670856</v>
      </c>
      <c r="D20">
        <v>44816754</v>
      </c>
      <c r="E20">
        <v>1</v>
      </c>
      <c r="F20">
        <v>1</v>
      </c>
      <c r="G20">
        <v>1</v>
      </c>
      <c r="H20">
        <v>3</v>
      </c>
      <c r="I20" t="s">
        <v>59</v>
      </c>
      <c r="J20" t="s">
        <v>61</v>
      </c>
      <c r="K20" t="s">
        <v>60</v>
      </c>
      <c r="L20">
        <v>1327</v>
      </c>
      <c r="N20">
        <v>1005</v>
      </c>
      <c r="O20" t="s">
        <v>56</v>
      </c>
      <c r="P20" t="s">
        <v>56</v>
      </c>
      <c r="Q20">
        <v>1</v>
      </c>
      <c r="W20">
        <v>0</v>
      </c>
      <c r="X20">
        <v>-610451700</v>
      </c>
      <c r="Y20">
        <v>80.788036</v>
      </c>
      <c r="AA20">
        <v>53.54</v>
      </c>
      <c r="AB20">
        <v>0</v>
      </c>
      <c r="AC20">
        <v>0</v>
      </c>
      <c r="AD20">
        <v>0</v>
      </c>
      <c r="AE20">
        <v>53.54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T20">
        <v>80.788036</v>
      </c>
      <c r="AV20">
        <v>0</v>
      </c>
      <c r="AW20">
        <v>1</v>
      </c>
      <c r="AX20">
        <v>-1</v>
      </c>
      <c r="AY20">
        <v>0</v>
      </c>
      <c r="AZ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224.72000093760002</v>
      </c>
      <c r="CY20">
        <f>AA20</f>
        <v>53.54</v>
      </c>
      <c r="CZ20">
        <f>AE20</f>
        <v>53.54</v>
      </c>
      <c r="DA20">
        <f>AI20</f>
        <v>1</v>
      </c>
      <c r="DB20">
        <f t="shared" si="0"/>
        <v>4325.39</v>
      </c>
      <c r="DC20">
        <f t="shared" si="1"/>
        <v>0</v>
      </c>
    </row>
    <row r="21" spans="1:107" ht="12.75">
      <c r="A21">
        <f>ROW(Source!A30)</f>
        <v>30</v>
      </c>
      <c r="B21">
        <v>55670666</v>
      </c>
      <c r="C21">
        <v>55670856</v>
      </c>
      <c r="D21">
        <v>44805115</v>
      </c>
      <c r="E21">
        <v>54</v>
      </c>
      <c r="F21">
        <v>1</v>
      </c>
      <c r="G21">
        <v>1</v>
      </c>
      <c r="H21">
        <v>3</v>
      </c>
      <c r="I21" t="s">
        <v>63</v>
      </c>
      <c r="K21" t="s">
        <v>64</v>
      </c>
      <c r="L21">
        <v>1348</v>
      </c>
      <c r="N21">
        <v>1009</v>
      </c>
      <c r="O21" t="s">
        <v>65</v>
      </c>
      <c r="P21" t="s">
        <v>65</v>
      </c>
      <c r="Q21">
        <v>1000</v>
      </c>
      <c r="W21">
        <v>0</v>
      </c>
      <c r="X21">
        <v>2102561428</v>
      </c>
      <c r="Y21">
        <v>0.98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T21">
        <v>0.98</v>
      </c>
      <c r="AV21">
        <v>0</v>
      </c>
      <c r="AW21">
        <v>2</v>
      </c>
      <c r="AX21">
        <v>55670873</v>
      </c>
      <c r="AY21">
        <v>1</v>
      </c>
      <c r="AZ21">
        <v>0</v>
      </c>
      <c r="BA21">
        <v>20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2.725968</v>
      </c>
      <c r="CY21">
        <f>AA21</f>
        <v>0</v>
      </c>
      <c r="CZ21">
        <f>AE21</f>
        <v>0</v>
      </c>
      <c r="DA21">
        <f>AI21</f>
        <v>1</v>
      </c>
      <c r="DB21">
        <f t="shared" si="0"/>
        <v>0</v>
      </c>
      <c r="DC21">
        <f t="shared" si="1"/>
        <v>0</v>
      </c>
    </row>
    <row r="22" spans="1:107" ht="12.75">
      <c r="A22">
        <f>ROW(Source!A31)</f>
        <v>31</v>
      </c>
      <c r="B22">
        <v>55671155</v>
      </c>
      <c r="C22">
        <v>55670856</v>
      </c>
      <c r="D22">
        <v>44800280</v>
      </c>
      <c r="E22">
        <v>54</v>
      </c>
      <c r="F22">
        <v>1</v>
      </c>
      <c r="G22">
        <v>1</v>
      </c>
      <c r="H22">
        <v>1</v>
      </c>
      <c r="I22" t="s">
        <v>246</v>
      </c>
      <c r="K22" t="s">
        <v>247</v>
      </c>
      <c r="L22">
        <v>1191</v>
      </c>
      <c r="N22">
        <v>1013</v>
      </c>
      <c r="O22" t="s">
        <v>229</v>
      </c>
      <c r="P22" t="s">
        <v>229</v>
      </c>
      <c r="Q22">
        <v>1</v>
      </c>
      <c r="W22">
        <v>0</v>
      </c>
      <c r="X22">
        <v>-1027537862</v>
      </c>
      <c r="Y22">
        <v>132</v>
      </c>
      <c r="AA22">
        <v>0</v>
      </c>
      <c r="AB22">
        <v>0</v>
      </c>
      <c r="AC22">
        <v>0</v>
      </c>
      <c r="AD22">
        <v>342.78</v>
      </c>
      <c r="AE22">
        <v>0</v>
      </c>
      <c r="AF22">
        <v>0</v>
      </c>
      <c r="AG22">
        <v>0</v>
      </c>
      <c r="AH22">
        <v>9.18</v>
      </c>
      <c r="AI22">
        <v>1</v>
      </c>
      <c r="AJ22">
        <v>1</v>
      </c>
      <c r="AK22">
        <v>1</v>
      </c>
      <c r="AL22">
        <v>37.34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132</v>
      </c>
      <c r="AV22">
        <v>1</v>
      </c>
      <c r="AW22">
        <v>2</v>
      </c>
      <c r="AX22">
        <v>55670866</v>
      </c>
      <c r="AY22">
        <v>1</v>
      </c>
      <c r="AZ22">
        <v>0</v>
      </c>
      <c r="BA22">
        <v>21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367.1712</v>
      </c>
      <c r="CY22">
        <f>AD22</f>
        <v>342.78</v>
      </c>
      <c r="CZ22">
        <f>AH22</f>
        <v>9.18</v>
      </c>
      <c r="DA22">
        <f>AL22</f>
        <v>37.34</v>
      </c>
      <c r="DB22">
        <f t="shared" si="0"/>
        <v>1211.76</v>
      </c>
      <c r="DC22">
        <f t="shared" si="1"/>
        <v>0</v>
      </c>
    </row>
    <row r="23" spans="1:107" ht="12.75">
      <c r="A23">
        <f>ROW(Source!A31)</f>
        <v>31</v>
      </c>
      <c r="B23">
        <v>55671155</v>
      </c>
      <c r="C23">
        <v>55670856</v>
      </c>
      <c r="D23">
        <v>44800452</v>
      </c>
      <c r="E23">
        <v>54</v>
      </c>
      <c r="F23">
        <v>1</v>
      </c>
      <c r="G23">
        <v>1</v>
      </c>
      <c r="H23">
        <v>1</v>
      </c>
      <c r="I23" t="s">
        <v>230</v>
      </c>
      <c r="K23" t="s">
        <v>231</v>
      </c>
      <c r="L23">
        <v>1191</v>
      </c>
      <c r="N23">
        <v>1013</v>
      </c>
      <c r="O23" t="s">
        <v>229</v>
      </c>
      <c r="P23" t="s">
        <v>229</v>
      </c>
      <c r="Q23">
        <v>1</v>
      </c>
      <c r="W23">
        <v>0</v>
      </c>
      <c r="X23">
        <v>-1417349443</v>
      </c>
      <c r="Y23">
        <v>0.5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37.34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0.5</v>
      </c>
      <c r="AV23">
        <v>2</v>
      </c>
      <c r="AW23">
        <v>2</v>
      </c>
      <c r="AX23">
        <v>55670867</v>
      </c>
      <c r="AY23">
        <v>1</v>
      </c>
      <c r="AZ23">
        <v>0</v>
      </c>
      <c r="BA23">
        <v>22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Y23*Source!I31</f>
        <v>1.3908</v>
      </c>
      <c r="CY23">
        <f>AD23</f>
        <v>0</v>
      </c>
      <c r="CZ23">
        <f>AH23</f>
        <v>0</v>
      </c>
      <c r="DA23">
        <f>AL23</f>
        <v>1</v>
      </c>
      <c r="DB23">
        <f t="shared" si="0"/>
        <v>0</v>
      </c>
      <c r="DC23">
        <f t="shared" si="1"/>
        <v>0</v>
      </c>
    </row>
    <row r="24" spans="1:107" ht="12.75">
      <c r="A24">
        <f>ROW(Source!A31)</f>
        <v>31</v>
      </c>
      <c r="B24">
        <v>55671155</v>
      </c>
      <c r="C24">
        <v>55670856</v>
      </c>
      <c r="D24">
        <v>44976465</v>
      </c>
      <c r="E24">
        <v>1</v>
      </c>
      <c r="F24">
        <v>1</v>
      </c>
      <c r="G24">
        <v>1</v>
      </c>
      <c r="H24">
        <v>2</v>
      </c>
      <c r="I24" t="s">
        <v>248</v>
      </c>
      <c r="J24" t="s">
        <v>249</v>
      </c>
      <c r="K24" t="s">
        <v>250</v>
      </c>
      <c r="L24">
        <v>1368</v>
      </c>
      <c r="N24">
        <v>1011</v>
      </c>
      <c r="O24" t="s">
        <v>235</v>
      </c>
      <c r="P24" t="s">
        <v>235</v>
      </c>
      <c r="Q24">
        <v>1</v>
      </c>
      <c r="W24">
        <v>0</v>
      </c>
      <c r="X24">
        <v>2085189525</v>
      </c>
      <c r="Y24">
        <v>0.25</v>
      </c>
      <c r="AA24">
        <v>0</v>
      </c>
      <c r="AB24">
        <v>413.88</v>
      </c>
      <c r="AC24">
        <v>504.09</v>
      </c>
      <c r="AD24">
        <v>0</v>
      </c>
      <c r="AE24">
        <v>0</v>
      </c>
      <c r="AF24">
        <v>31.26</v>
      </c>
      <c r="AG24">
        <v>13.5</v>
      </c>
      <c r="AH24">
        <v>0</v>
      </c>
      <c r="AI24">
        <v>1</v>
      </c>
      <c r="AJ24">
        <v>13.24</v>
      </c>
      <c r="AK24">
        <v>37.34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0.25</v>
      </c>
      <c r="AV24">
        <v>0</v>
      </c>
      <c r="AW24">
        <v>2</v>
      </c>
      <c r="AX24">
        <v>55670868</v>
      </c>
      <c r="AY24">
        <v>1</v>
      </c>
      <c r="AZ24">
        <v>0</v>
      </c>
      <c r="BA24">
        <v>23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Y24*Source!I31</f>
        <v>0.6954</v>
      </c>
      <c r="CY24">
        <f>AB24</f>
        <v>413.88</v>
      </c>
      <c r="CZ24">
        <f>AF24</f>
        <v>31.26</v>
      </c>
      <c r="DA24">
        <f>AJ24</f>
        <v>13.24</v>
      </c>
      <c r="DB24">
        <f t="shared" si="0"/>
        <v>7.82</v>
      </c>
      <c r="DC24">
        <f t="shared" si="1"/>
        <v>3.38</v>
      </c>
    </row>
    <row r="25" spans="1:107" ht="12.75">
      <c r="A25">
        <f>ROW(Source!A31)</f>
        <v>31</v>
      </c>
      <c r="B25">
        <v>55671155</v>
      </c>
      <c r="C25">
        <v>55670856</v>
      </c>
      <c r="D25">
        <v>44977280</v>
      </c>
      <c r="E25">
        <v>1</v>
      </c>
      <c r="F25">
        <v>1</v>
      </c>
      <c r="G25">
        <v>1</v>
      </c>
      <c r="H25">
        <v>2</v>
      </c>
      <c r="I25" t="s">
        <v>232</v>
      </c>
      <c r="J25" t="s">
        <v>233</v>
      </c>
      <c r="K25" t="s">
        <v>234</v>
      </c>
      <c r="L25">
        <v>1368</v>
      </c>
      <c r="N25">
        <v>1011</v>
      </c>
      <c r="O25" t="s">
        <v>235</v>
      </c>
      <c r="P25" t="s">
        <v>235</v>
      </c>
      <c r="Q25">
        <v>1</v>
      </c>
      <c r="W25">
        <v>0</v>
      </c>
      <c r="X25">
        <v>-1057454432</v>
      </c>
      <c r="Y25">
        <v>0.25</v>
      </c>
      <c r="AA25">
        <v>0</v>
      </c>
      <c r="AB25">
        <v>870</v>
      </c>
      <c r="AC25">
        <v>433.14</v>
      </c>
      <c r="AD25">
        <v>0</v>
      </c>
      <c r="AE25">
        <v>0</v>
      </c>
      <c r="AF25">
        <v>65.71</v>
      </c>
      <c r="AG25">
        <v>11.6</v>
      </c>
      <c r="AH25">
        <v>0</v>
      </c>
      <c r="AI25">
        <v>1</v>
      </c>
      <c r="AJ25">
        <v>13.24</v>
      </c>
      <c r="AK25">
        <v>37.34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0.25</v>
      </c>
      <c r="AV25">
        <v>0</v>
      </c>
      <c r="AW25">
        <v>2</v>
      </c>
      <c r="AX25">
        <v>55670869</v>
      </c>
      <c r="AY25">
        <v>1</v>
      </c>
      <c r="AZ25">
        <v>0</v>
      </c>
      <c r="BA25">
        <v>24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Y25*Source!I31</f>
        <v>0.6954</v>
      </c>
      <c r="CY25">
        <f>AB25</f>
        <v>870</v>
      </c>
      <c r="CZ25">
        <f>AF25</f>
        <v>65.71</v>
      </c>
      <c r="DA25">
        <f>AJ25</f>
        <v>13.24</v>
      </c>
      <c r="DB25">
        <f t="shared" si="0"/>
        <v>16.43</v>
      </c>
      <c r="DC25">
        <f t="shared" si="1"/>
        <v>2.9</v>
      </c>
    </row>
    <row r="26" spans="1:107" ht="12.75">
      <c r="A26">
        <f>ROW(Source!A31)</f>
        <v>31</v>
      </c>
      <c r="B26">
        <v>55671155</v>
      </c>
      <c r="C26">
        <v>55670856</v>
      </c>
      <c r="D26">
        <v>44816214</v>
      </c>
      <c r="E26">
        <v>1</v>
      </c>
      <c r="F26">
        <v>1</v>
      </c>
      <c r="G26">
        <v>1</v>
      </c>
      <c r="H26">
        <v>3</v>
      </c>
      <c r="I26" t="s">
        <v>251</v>
      </c>
      <c r="J26" t="s">
        <v>252</v>
      </c>
      <c r="K26" t="s">
        <v>253</v>
      </c>
      <c r="L26">
        <v>1346</v>
      </c>
      <c r="N26">
        <v>1009</v>
      </c>
      <c r="O26" t="s">
        <v>254</v>
      </c>
      <c r="P26" t="s">
        <v>254</v>
      </c>
      <c r="Q26">
        <v>1</v>
      </c>
      <c r="W26">
        <v>0</v>
      </c>
      <c r="X26">
        <v>1692580353</v>
      </c>
      <c r="Y26">
        <v>38.6</v>
      </c>
      <c r="AA26">
        <v>155.16</v>
      </c>
      <c r="AB26">
        <v>0</v>
      </c>
      <c r="AC26">
        <v>0</v>
      </c>
      <c r="AD26">
        <v>0</v>
      </c>
      <c r="AE26">
        <v>23.09</v>
      </c>
      <c r="AF26">
        <v>0</v>
      </c>
      <c r="AG26">
        <v>0</v>
      </c>
      <c r="AH26">
        <v>0</v>
      </c>
      <c r="AI26">
        <v>6.72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38.6</v>
      </c>
      <c r="AV26">
        <v>0</v>
      </c>
      <c r="AW26">
        <v>2</v>
      </c>
      <c r="AX26">
        <v>55670870</v>
      </c>
      <c r="AY26">
        <v>1</v>
      </c>
      <c r="AZ26">
        <v>0</v>
      </c>
      <c r="BA26">
        <v>25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107.36976000000001</v>
      </c>
      <c r="CY26">
        <f>AA26</f>
        <v>155.16</v>
      </c>
      <c r="CZ26">
        <f>AE26</f>
        <v>23.09</v>
      </c>
      <c r="DA26">
        <f>AI26</f>
        <v>6.72</v>
      </c>
      <c r="DB26">
        <f t="shared" si="0"/>
        <v>891.27</v>
      </c>
      <c r="DC26">
        <f t="shared" si="1"/>
        <v>0</v>
      </c>
    </row>
    <row r="27" spans="1:107" ht="12.75">
      <c r="A27">
        <f>ROW(Source!A31)</f>
        <v>31</v>
      </c>
      <c r="B27">
        <v>55671155</v>
      </c>
      <c r="C27">
        <v>55670856</v>
      </c>
      <c r="D27">
        <v>44816408</v>
      </c>
      <c r="E27">
        <v>1</v>
      </c>
      <c r="F27">
        <v>1</v>
      </c>
      <c r="G27">
        <v>1</v>
      </c>
      <c r="H27">
        <v>3</v>
      </c>
      <c r="I27" t="s">
        <v>255</v>
      </c>
      <c r="J27" t="s">
        <v>256</v>
      </c>
      <c r="K27" t="s">
        <v>257</v>
      </c>
      <c r="L27">
        <v>1346</v>
      </c>
      <c r="N27">
        <v>1009</v>
      </c>
      <c r="O27" t="s">
        <v>254</v>
      </c>
      <c r="P27" t="s">
        <v>254</v>
      </c>
      <c r="Q27">
        <v>1</v>
      </c>
      <c r="W27">
        <v>0</v>
      </c>
      <c r="X27">
        <v>-1536239735</v>
      </c>
      <c r="Y27">
        <v>0.2</v>
      </c>
      <c r="AA27">
        <v>12.23</v>
      </c>
      <c r="AB27">
        <v>0</v>
      </c>
      <c r="AC27">
        <v>0</v>
      </c>
      <c r="AD27">
        <v>0</v>
      </c>
      <c r="AE27">
        <v>1.82</v>
      </c>
      <c r="AF27">
        <v>0</v>
      </c>
      <c r="AG27">
        <v>0</v>
      </c>
      <c r="AH27">
        <v>0</v>
      </c>
      <c r="AI27">
        <v>6.72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0.2</v>
      </c>
      <c r="AV27">
        <v>0</v>
      </c>
      <c r="AW27">
        <v>2</v>
      </c>
      <c r="AX27">
        <v>55670871</v>
      </c>
      <c r="AY27">
        <v>1</v>
      </c>
      <c r="AZ27">
        <v>0</v>
      </c>
      <c r="BA27">
        <v>26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0.55632</v>
      </c>
      <c r="CY27">
        <f>AA27</f>
        <v>12.23</v>
      </c>
      <c r="CZ27">
        <f>AE27</f>
        <v>1.82</v>
      </c>
      <c r="DA27">
        <f>AI27</f>
        <v>6.72</v>
      </c>
      <c r="DB27">
        <f t="shared" si="0"/>
        <v>0.36</v>
      </c>
      <c r="DC27">
        <f t="shared" si="1"/>
        <v>0</v>
      </c>
    </row>
    <row r="28" spans="1:107" ht="12.75">
      <c r="A28">
        <f>ROW(Source!A31)</f>
        <v>31</v>
      </c>
      <c r="B28">
        <v>55671155</v>
      </c>
      <c r="C28">
        <v>55670856</v>
      </c>
      <c r="D28">
        <v>44816742</v>
      </c>
      <c r="E28">
        <v>1</v>
      </c>
      <c r="F28">
        <v>1</v>
      </c>
      <c r="G28">
        <v>1</v>
      </c>
      <c r="H28">
        <v>3</v>
      </c>
      <c r="I28" t="s">
        <v>54</v>
      </c>
      <c r="J28" t="s">
        <v>57</v>
      </c>
      <c r="K28" t="s">
        <v>55</v>
      </c>
      <c r="L28">
        <v>1327</v>
      </c>
      <c r="N28">
        <v>1005</v>
      </c>
      <c r="O28" t="s">
        <v>56</v>
      </c>
      <c r="P28" t="s">
        <v>56</v>
      </c>
      <c r="Q28">
        <v>1</v>
      </c>
      <c r="W28">
        <v>0</v>
      </c>
      <c r="X28">
        <v>-150126821</v>
      </c>
      <c r="Y28">
        <v>20.736267</v>
      </c>
      <c r="AA28">
        <v>380.82</v>
      </c>
      <c r="AB28">
        <v>0</v>
      </c>
      <c r="AC28">
        <v>0</v>
      </c>
      <c r="AD28">
        <v>0</v>
      </c>
      <c r="AE28">
        <v>56.67</v>
      </c>
      <c r="AF28">
        <v>0</v>
      </c>
      <c r="AG28">
        <v>0</v>
      </c>
      <c r="AH28">
        <v>0</v>
      </c>
      <c r="AI28">
        <v>6.72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T28">
        <v>20.736267</v>
      </c>
      <c r="AV28">
        <v>0</v>
      </c>
      <c r="AW28">
        <v>1</v>
      </c>
      <c r="AX28">
        <v>-1</v>
      </c>
      <c r="AY28">
        <v>0</v>
      </c>
      <c r="AZ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57.68000028720001</v>
      </c>
      <c r="CY28">
        <f>AA28</f>
        <v>380.82</v>
      </c>
      <c r="CZ28">
        <f>AE28</f>
        <v>56.67</v>
      </c>
      <c r="DA28">
        <f>AI28</f>
        <v>6.72</v>
      </c>
      <c r="DB28">
        <f t="shared" si="0"/>
        <v>1175.12</v>
      </c>
      <c r="DC28">
        <f t="shared" si="1"/>
        <v>0</v>
      </c>
    </row>
    <row r="29" spans="1:107" ht="12.75">
      <c r="A29">
        <f>ROW(Source!A31)</f>
        <v>31</v>
      </c>
      <c r="B29">
        <v>55671155</v>
      </c>
      <c r="C29">
        <v>55670856</v>
      </c>
      <c r="D29">
        <v>44816754</v>
      </c>
      <c r="E29">
        <v>1</v>
      </c>
      <c r="F29">
        <v>1</v>
      </c>
      <c r="G29">
        <v>1</v>
      </c>
      <c r="H29">
        <v>3</v>
      </c>
      <c r="I29" t="s">
        <v>59</v>
      </c>
      <c r="J29" t="s">
        <v>61</v>
      </c>
      <c r="K29" t="s">
        <v>60</v>
      </c>
      <c r="L29">
        <v>1327</v>
      </c>
      <c r="N29">
        <v>1005</v>
      </c>
      <c r="O29" t="s">
        <v>56</v>
      </c>
      <c r="P29" t="s">
        <v>56</v>
      </c>
      <c r="Q29">
        <v>1</v>
      </c>
      <c r="W29">
        <v>0</v>
      </c>
      <c r="X29">
        <v>-610451700</v>
      </c>
      <c r="Y29">
        <v>80.788036</v>
      </c>
      <c r="AA29">
        <v>359.79</v>
      </c>
      <c r="AB29">
        <v>0</v>
      </c>
      <c r="AC29">
        <v>0</v>
      </c>
      <c r="AD29">
        <v>0</v>
      </c>
      <c r="AE29">
        <v>53.54</v>
      </c>
      <c r="AF29">
        <v>0</v>
      </c>
      <c r="AG29">
        <v>0</v>
      </c>
      <c r="AH29">
        <v>0</v>
      </c>
      <c r="AI29">
        <v>6.72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0</v>
      </c>
      <c r="AQ29">
        <v>0</v>
      </c>
      <c r="AR29">
        <v>0</v>
      </c>
      <c r="AT29">
        <v>80.788036</v>
      </c>
      <c r="AV29">
        <v>0</v>
      </c>
      <c r="AW29">
        <v>1</v>
      </c>
      <c r="AX29">
        <v>-1</v>
      </c>
      <c r="AY29">
        <v>0</v>
      </c>
      <c r="AZ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Y29*Source!I31</f>
        <v>224.72000093760002</v>
      </c>
      <c r="CY29">
        <f>AA29</f>
        <v>359.79</v>
      </c>
      <c r="CZ29">
        <f>AE29</f>
        <v>53.54</v>
      </c>
      <c r="DA29">
        <f>AI29</f>
        <v>6.72</v>
      </c>
      <c r="DB29">
        <f t="shared" si="0"/>
        <v>4325.39</v>
      </c>
      <c r="DC29">
        <f t="shared" si="1"/>
        <v>0</v>
      </c>
    </row>
    <row r="30" spans="1:107" ht="12.75">
      <c r="A30">
        <f>ROW(Source!A31)</f>
        <v>31</v>
      </c>
      <c r="B30">
        <v>55671155</v>
      </c>
      <c r="C30">
        <v>55670856</v>
      </c>
      <c r="D30">
        <v>44805115</v>
      </c>
      <c r="E30">
        <v>54</v>
      </c>
      <c r="F30">
        <v>1</v>
      </c>
      <c r="G30">
        <v>1</v>
      </c>
      <c r="H30">
        <v>3</v>
      </c>
      <c r="I30" t="s">
        <v>63</v>
      </c>
      <c r="K30" t="s">
        <v>64</v>
      </c>
      <c r="L30">
        <v>1348</v>
      </c>
      <c r="N30">
        <v>1009</v>
      </c>
      <c r="O30" t="s">
        <v>65</v>
      </c>
      <c r="P30" t="s">
        <v>65</v>
      </c>
      <c r="Q30">
        <v>1000</v>
      </c>
      <c r="W30">
        <v>0</v>
      </c>
      <c r="X30">
        <v>2102561428</v>
      </c>
      <c r="Y30">
        <v>0.98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6.72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T30">
        <v>0.98</v>
      </c>
      <c r="AV30">
        <v>0</v>
      </c>
      <c r="AW30">
        <v>2</v>
      </c>
      <c r="AX30">
        <v>55670873</v>
      </c>
      <c r="AY30">
        <v>1</v>
      </c>
      <c r="AZ30">
        <v>0</v>
      </c>
      <c r="BA30">
        <v>28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Y30*Source!I31</f>
        <v>2.725968</v>
      </c>
      <c r="CY30">
        <f>AA30</f>
        <v>0</v>
      </c>
      <c r="CZ30">
        <f>AE30</f>
        <v>0</v>
      </c>
      <c r="DA30">
        <f>AI30</f>
        <v>6.72</v>
      </c>
      <c r="DB30">
        <f t="shared" si="0"/>
        <v>0</v>
      </c>
      <c r="DC30">
        <f t="shared" si="1"/>
        <v>0</v>
      </c>
    </row>
    <row r="31" spans="1:107" ht="12.75">
      <c r="A31">
        <f>ROW(Source!A38)</f>
        <v>38</v>
      </c>
      <c r="B31">
        <v>55670666</v>
      </c>
      <c r="C31">
        <v>55670882</v>
      </c>
      <c r="D31">
        <v>9415735</v>
      </c>
      <c r="E31">
        <v>1</v>
      </c>
      <c r="F31">
        <v>1</v>
      </c>
      <c r="G31">
        <v>1</v>
      </c>
      <c r="H31">
        <v>1</v>
      </c>
      <c r="I31" t="s">
        <v>258</v>
      </c>
      <c r="K31" t="s">
        <v>259</v>
      </c>
      <c r="L31">
        <v>1369</v>
      </c>
      <c r="N31">
        <v>1013</v>
      </c>
      <c r="O31" t="s">
        <v>260</v>
      </c>
      <c r="P31" t="s">
        <v>260</v>
      </c>
      <c r="Q31">
        <v>1</v>
      </c>
      <c r="W31">
        <v>0</v>
      </c>
      <c r="X31">
        <v>-887838387</v>
      </c>
      <c r="Y31">
        <v>7.394499999999999</v>
      </c>
      <c r="AA31">
        <v>0</v>
      </c>
      <c r="AB31">
        <v>0</v>
      </c>
      <c r="AC31">
        <v>0</v>
      </c>
      <c r="AD31">
        <v>9.07</v>
      </c>
      <c r="AE31">
        <v>0</v>
      </c>
      <c r="AF31">
        <v>0</v>
      </c>
      <c r="AG31">
        <v>0</v>
      </c>
      <c r="AH31">
        <v>9.07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6.43</v>
      </c>
      <c r="AU31" t="s">
        <v>32</v>
      </c>
      <c r="AV31">
        <v>1</v>
      </c>
      <c r="AW31">
        <v>1</v>
      </c>
      <c r="AX31">
        <v>-1</v>
      </c>
      <c r="AY31">
        <v>0</v>
      </c>
      <c r="AZ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Y31*Source!I38</f>
        <v>53.49477079999999</v>
      </c>
      <c r="CY31">
        <f>AD31</f>
        <v>9.07</v>
      </c>
      <c r="CZ31">
        <f>AH31</f>
        <v>9.07</v>
      </c>
      <c r="DA31">
        <f>AL31</f>
        <v>1</v>
      </c>
      <c r="DB31">
        <f>ROUND((ROUND(AT31*CZ31,2)*ROUND(1.15,7)),2)</f>
        <v>67.07</v>
      </c>
      <c r="DC31">
        <f>ROUND((ROUND(AT31*AG31,2)*ROUND(1.15,7)),2)</f>
        <v>0</v>
      </c>
    </row>
    <row r="32" spans="1:107" ht="12.75">
      <c r="A32">
        <f>ROW(Source!A38)</f>
        <v>38</v>
      </c>
      <c r="B32">
        <v>55670666</v>
      </c>
      <c r="C32">
        <v>55670882</v>
      </c>
      <c r="D32">
        <v>0</v>
      </c>
      <c r="E32">
        <v>1</v>
      </c>
      <c r="F32">
        <v>1</v>
      </c>
      <c r="G32">
        <v>1</v>
      </c>
      <c r="H32">
        <v>2</v>
      </c>
      <c r="I32" t="s">
        <v>261</v>
      </c>
      <c r="J32" t="s">
        <v>262</v>
      </c>
      <c r="K32" t="s">
        <v>234</v>
      </c>
      <c r="L32">
        <v>1368</v>
      </c>
      <c r="N32">
        <v>1011</v>
      </c>
      <c r="O32" t="s">
        <v>235</v>
      </c>
      <c r="P32" t="s">
        <v>235</v>
      </c>
      <c r="Q32">
        <v>1</v>
      </c>
      <c r="W32">
        <v>0</v>
      </c>
      <c r="X32">
        <v>-706219601</v>
      </c>
      <c r="Y32">
        <v>0.1625</v>
      </c>
      <c r="AA32">
        <v>0</v>
      </c>
      <c r="AB32">
        <v>87.17</v>
      </c>
      <c r="AC32">
        <v>11.6</v>
      </c>
      <c r="AD32">
        <v>0</v>
      </c>
      <c r="AE32">
        <v>0</v>
      </c>
      <c r="AF32">
        <v>87.17</v>
      </c>
      <c r="AG32">
        <v>11.6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0.13</v>
      </c>
      <c r="AU32" t="s">
        <v>31</v>
      </c>
      <c r="AV32">
        <v>0</v>
      </c>
      <c r="AW32">
        <v>1</v>
      </c>
      <c r="AX32">
        <v>-1</v>
      </c>
      <c r="AY32">
        <v>0</v>
      </c>
      <c r="AZ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Y32*Source!I38</f>
        <v>1.1755900000000001</v>
      </c>
      <c r="CY32">
        <f>AB32</f>
        <v>87.17</v>
      </c>
      <c r="CZ32">
        <f>AF32</f>
        <v>87.17</v>
      </c>
      <c r="DA32">
        <f>AJ32</f>
        <v>1</v>
      </c>
      <c r="DB32">
        <f>ROUND((ROUND(AT32*CZ32,2)*ROUND(1.25,7)),2)</f>
        <v>14.16</v>
      </c>
      <c r="DC32">
        <f>ROUND((ROUND(AT32*AG32,2)*ROUND(1.25,7)),2)</f>
        <v>1.89</v>
      </c>
    </row>
    <row r="33" spans="1:107" ht="12.75">
      <c r="A33">
        <f>ROW(Source!A38)</f>
        <v>38</v>
      </c>
      <c r="B33">
        <v>55670666</v>
      </c>
      <c r="C33">
        <v>55670882</v>
      </c>
      <c r="D33">
        <v>0</v>
      </c>
      <c r="E33">
        <v>1</v>
      </c>
      <c r="F33">
        <v>1</v>
      </c>
      <c r="G33">
        <v>1</v>
      </c>
      <c r="H33">
        <v>3</v>
      </c>
      <c r="I33" t="s">
        <v>263</v>
      </c>
      <c r="J33" t="s">
        <v>264</v>
      </c>
      <c r="K33" t="s">
        <v>265</v>
      </c>
      <c r="L33">
        <v>1308</v>
      </c>
      <c r="N33">
        <v>1003</v>
      </c>
      <c r="O33" t="s">
        <v>69</v>
      </c>
      <c r="P33" t="s">
        <v>69</v>
      </c>
      <c r="Q33">
        <v>100</v>
      </c>
      <c r="W33">
        <v>0</v>
      </c>
      <c r="X33">
        <v>-1563446494</v>
      </c>
      <c r="Y33">
        <v>1.05</v>
      </c>
      <c r="AA33">
        <v>2500</v>
      </c>
      <c r="AB33">
        <v>0</v>
      </c>
      <c r="AC33">
        <v>0</v>
      </c>
      <c r="AD33">
        <v>0</v>
      </c>
      <c r="AE33">
        <v>2500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1.05</v>
      </c>
      <c r="AV33">
        <v>0</v>
      </c>
      <c r="AW33">
        <v>1</v>
      </c>
      <c r="AX33">
        <v>-1</v>
      </c>
      <c r="AY33">
        <v>0</v>
      </c>
      <c r="AZ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Y33*Source!I38</f>
        <v>7.59612</v>
      </c>
      <c r="CY33">
        <f>AA33</f>
        <v>2500</v>
      </c>
      <c r="CZ33">
        <f>AE33</f>
        <v>2500</v>
      </c>
      <c r="DA33">
        <f>AI33</f>
        <v>1</v>
      </c>
      <c r="DB33">
        <f>ROUND(ROUND(AT33*CZ33,2),2)</f>
        <v>2625</v>
      </c>
      <c r="DC33">
        <f>ROUND(ROUND(AT33*AG33,2),2)</f>
        <v>0</v>
      </c>
    </row>
    <row r="34" spans="1:107" ht="12.75">
      <c r="A34">
        <f>ROW(Source!A38)</f>
        <v>38</v>
      </c>
      <c r="B34">
        <v>55670666</v>
      </c>
      <c r="C34">
        <v>55670882</v>
      </c>
      <c r="D34">
        <v>0</v>
      </c>
      <c r="E34">
        <v>1</v>
      </c>
      <c r="F34">
        <v>1</v>
      </c>
      <c r="G34">
        <v>1</v>
      </c>
      <c r="H34">
        <v>3</v>
      </c>
      <c r="I34" t="s">
        <v>266</v>
      </c>
      <c r="J34" t="s">
        <v>267</v>
      </c>
      <c r="K34" t="s">
        <v>268</v>
      </c>
      <c r="L34">
        <v>1348</v>
      </c>
      <c r="N34">
        <v>1009</v>
      </c>
      <c r="O34" t="s">
        <v>65</v>
      </c>
      <c r="P34" t="s">
        <v>65</v>
      </c>
      <c r="Q34">
        <v>1000</v>
      </c>
      <c r="W34">
        <v>0</v>
      </c>
      <c r="X34">
        <v>1657557285</v>
      </c>
      <c r="Y34">
        <v>0.012</v>
      </c>
      <c r="AA34">
        <v>24553</v>
      </c>
      <c r="AB34">
        <v>0</v>
      </c>
      <c r="AC34">
        <v>0</v>
      </c>
      <c r="AD34">
        <v>0</v>
      </c>
      <c r="AE34">
        <v>24553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0.012</v>
      </c>
      <c r="AV34">
        <v>0</v>
      </c>
      <c r="AW34">
        <v>1</v>
      </c>
      <c r="AX34">
        <v>-1</v>
      </c>
      <c r="AY34">
        <v>0</v>
      </c>
      <c r="AZ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Y34*Source!I38</f>
        <v>0.0868128</v>
      </c>
      <c r="CY34">
        <f>AA34</f>
        <v>24553</v>
      </c>
      <c r="CZ34">
        <f>AE34</f>
        <v>24553</v>
      </c>
      <c r="DA34">
        <f>AI34</f>
        <v>1</v>
      </c>
      <c r="DB34">
        <f>ROUND(ROUND(AT34*CZ34,2),2)</f>
        <v>294.64</v>
      </c>
      <c r="DC34">
        <f>ROUND(ROUND(AT34*AG34,2),2)</f>
        <v>0</v>
      </c>
    </row>
    <row r="35" spans="1:107" ht="12.75">
      <c r="A35">
        <f>ROW(Source!A39)</f>
        <v>39</v>
      </c>
      <c r="B35">
        <v>55671155</v>
      </c>
      <c r="C35">
        <v>55670882</v>
      </c>
      <c r="D35">
        <v>9415735</v>
      </c>
      <c r="E35">
        <v>1</v>
      </c>
      <c r="F35">
        <v>1</v>
      </c>
      <c r="G35">
        <v>1</v>
      </c>
      <c r="H35">
        <v>1</v>
      </c>
      <c r="I35" t="s">
        <v>258</v>
      </c>
      <c r="K35" t="s">
        <v>259</v>
      </c>
      <c r="L35">
        <v>1369</v>
      </c>
      <c r="N35">
        <v>1013</v>
      </c>
      <c r="O35" t="s">
        <v>260</v>
      </c>
      <c r="P35" t="s">
        <v>260</v>
      </c>
      <c r="Q35">
        <v>1</v>
      </c>
      <c r="W35">
        <v>0</v>
      </c>
      <c r="X35">
        <v>-887838387</v>
      </c>
      <c r="Y35">
        <v>7.394499999999999</v>
      </c>
      <c r="AA35">
        <v>0</v>
      </c>
      <c r="AB35">
        <v>0</v>
      </c>
      <c r="AC35">
        <v>0</v>
      </c>
      <c r="AD35">
        <v>338.67</v>
      </c>
      <c r="AE35">
        <v>0</v>
      </c>
      <c r="AF35">
        <v>0</v>
      </c>
      <c r="AG35">
        <v>0</v>
      </c>
      <c r="AH35">
        <v>9.07</v>
      </c>
      <c r="AI35">
        <v>1</v>
      </c>
      <c r="AJ35">
        <v>1</v>
      </c>
      <c r="AK35">
        <v>1</v>
      </c>
      <c r="AL35">
        <v>37.34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6.43</v>
      </c>
      <c r="AU35" t="s">
        <v>32</v>
      </c>
      <c r="AV35">
        <v>1</v>
      </c>
      <c r="AW35">
        <v>1</v>
      </c>
      <c r="AX35">
        <v>-1</v>
      </c>
      <c r="AY35">
        <v>0</v>
      </c>
      <c r="AZ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Y35*Source!I39</f>
        <v>53.49477079999999</v>
      </c>
      <c r="CY35">
        <f>AD35</f>
        <v>338.67</v>
      </c>
      <c r="CZ35">
        <f>AH35</f>
        <v>9.07</v>
      </c>
      <c r="DA35">
        <f>AL35</f>
        <v>37.34</v>
      </c>
      <c r="DB35">
        <f>ROUND((ROUND(AT35*CZ35,2)*ROUND(1.15,7)),2)</f>
        <v>67.07</v>
      </c>
      <c r="DC35">
        <f>ROUND((ROUND(AT35*AG35,2)*ROUND(1.15,7)),2)</f>
        <v>0</v>
      </c>
    </row>
    <row r="36" spans="1:107" ht="12.75">
      <c r="A36">
        <f>ROW(Source!A39)</f>
        <v>39</v>
      </c>
      <c r="B36">
        <v>55671155</v>
      </c>
      <c r="C36">
        <v>55670882</v>
      </c>
      <c r="D36">
        <v>0</v>
      </c>
      <c r="E36">
        <v>1</v>
      </c>
      <c r="F36">
        <v>1</v>
      </c>
      <c r="G36">
        <v>1</v>
      </c>
      <c r="H36">
        <v>2</v>
      </c>
      <c r="I36" t="s">
        <v>261</v>
      </c>
      <c r="J36" t="s">
        <v>262</v>
      </c>
      <c r="K36" t="s">
        <v>234</v>
      </c>
      <c r="L36">
        <v>1368</v>
      </c>
      <c r="N36">
        <v>1011</v>
      </c>
      <c r="O36" t="s">
        <v>235</v>
      </c>
      <c r="P36" t="s">
        <v>235</v>
      </c>
      <c r="Q36">
        <v>1</v>
      </c>
      <c r="W36">
        <v>0</v>
      </c>
      <c r="X36">
        <v>-706219601</v>
      </c>
      <c r="Y36">
        <v>0.1625</v>
      </c>
      <c r="AA36">
        <v>0</v>
      </c>
      <c r="AB36">
        <v>1154.13</v>
      </c>
      <c r="AC36">
        <v>433.14</v>
      </c>
      <c r="AD36">
        <v>0</v>
      </c>
      <c r="AE36">
        <v>0</v>
      </c>
      <c r="AF36">
        <v>87.17</v>
      </c>
      <c r="AG36">
        <v>11.6</v>
      </c>
      <c r="AH36">
        <v>0</v>
      </c>
      <c r="AI36">
        <v>1</v>
      </c>
      <c r="AJ36">
        <v>13.24</v>
      </c>
      <c r="AK36">
        <v>37.34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0.13</v>
      </c>
      <c r="AU36" t="s">
        <v>31</v>
      </c>
      <c r="AV36">
        <v>0</v>
      </c>
      <c r="AW36">
        <v>1</v>
      </c>
      <c r="AX36">
        <v>-1</v>
      </c>
      <c r="AY36">
        <v>0</v>
      </c>
      <c r="AZ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Y36*Source!I39</f>
        <v>1.1755900000000001</v>
      </c>
      <c r="CY36">
        <f>AB36</f>
        <v>1154.13</v>
      </c>
      <c r="CZ36">
        <f>AF36</f>
        <v>87.17</v>
      </c>
      <c r="DA36">
        <f>AJ36</f>
        <v>13.24</v>
      </c>
      <c r="DB36">
        <f>ROUND((ROUND(AT36*CZ36,2)*ROUND(1.25,7)),2)</f>
        <v>14.16</v>
      </c>
      <c r="DC36">
        <f>ROUND((ROUND(AT36*AG36,2)*ROUND(1.25,7)),2)</f>
        <v>1.89</v>
      </c>
    </row>
    <row r="37" spans="1:107" ht="12.75">
      <c r="A37">
        <f>ROW(Source!A39)</f>
        <v>39</v>
      </c>
      <c r="B37">
        <v>55671155</v>
      </c>
      <c r="C37">
        <v>55670882</v>
      </c>
      <c r="D37">
        <v>0</v>
      </c>
      <c r="E37">
        <v>1</v>
      </c>
      <c r="F37">
        <v>1</v>
      </c>
      <c r="G37">
        <v>1</v>
      </c>
      <c r="H37">
        <v>3</v>
      </c>
      <c r="I37" t="s">
        <v>263</v>
      </c>
      <c r="J37" t="s">
        <v>264</v>
      </c>
      <c r="K37" t="s">
        <v>265</v>
      </c>
      <c r="L37">
        <v>1308</v>
      </c>
      <c r="N37">
        <v>1003</v>
      </c>
      <c r="O37" t="s">
        <v>69</v>
      </c>
      <c r="P37" t="s">
        <v>69</v>
      </c>
      <c r="Q37">
        <v>100</v>
      </c>
      <c r="W37">
        <v>0</v>
      </c>
      <c r="X37">
        <v>-1563446494</v>
      </c>
      <c r="Y37">
        <v>1.05</v>
      </c>
      <c r="AA37">
        <v>16800</v>
      </c>
      <c r="AB37">
        <v>0</v>
      </c>
      <c r="AC37">
        <v>0</v>
      </c>
      <c r="AD37">
        <v>0</v>
      </c>
      <c r="AE37">
        <v>2500</v>
      </c>
      <c r="AF37">
        <v>0</v>
      </c>
      <c r="AG37">
        <v>0</v>
      </c>
      <c r="AH37">
        <v>0</v>
      </c>
      <c r="AI37">
        <v>6.72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1.05</v>
      </c>
      <c r="AV37">
        <v>0</v>
      </c>
      <c r="AW37">
        <v>1</v>
      </c>
      <c r="AX37">
        <v>-1</v>
      </c>
      <c r="AY37">
        <v>0</v>
      </c>
      <c r="AZ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Y37*Source!I39</f>
        <v>7.59612</v>
      </c>
      <c r="CY37">
        <f>AA37</f>
        <v>16800</v>
      </c>
      <c r="CZ37">
        <f>AE37</f>
        <v>2500</v>
      </c>
      <c r="DA37">
        <f>AI37</f>
        <v>6.72</v>
      </c>
      <c r="DB37">
        <f aca="true" t="shared" si="2" ref="DB37:DB42">ROUND(ROUND(AT37*CZ37,2),2)</f>
        <v>2625</v>
      </c>
      <c r="DC37">
        <f aca="true" t="shared" si="3" ref="DC37:DC42">ROUND(ROUND(AT37*AG37,2),2)</f>
        <v>0</v>
      </c>
    </row>
    <row r="38" spans="1:107" ht="12.75">
      <c r="A38">
        <f>ROW(Source!A39)</f>
        <v>39</v>
      </c>
      <c r="B38">
        <v>55671155</v>
      </c>
      <c r="C38">
        <v>55670882</v>
      </c>
      <c r="D38">
        <v>0</v>
      </c>
      <c r="E38">
        <v>1</v>
      </c>
      <c r="F38">
        <v>1</v>
      </c>
      <c r="G38">
        <v>1</v>
      </c>
      <c r="H38">
        <v>3</v>
      </c>
      <c r="I38" t="s">
        <v>266</v>
      </c>
      <c r="J38" t="s">
        <v>267</v>
      </c>
      <c r="K38" t="s">
        <v>268</v>
      </c>
      <c r="L38">
        <v>1348</v>
      </c>
      <c r="N38">
        <v>1009</v>
      </c>
      <c r="O38" t="s">
        <v>65</v>
      </c>
      <c r="P38" t="s">
        <v>65</v>
      </c>
      <c r="Q38">
        <v>1000</v>
      </c>
      <c r="W38">
        <v>0</v>
      </c>
      <c r="X38">
        <v>1657557285</v>
      </c>
      <c r="Y38">
        <v>0.012</v>
      </c>
      <c r="AA38">
        <v>164996.16</v>
      </c>
      <c r="AB38">
        <v>0</v>
      </c>
      <c r="AC38">
        <v>0</v>
      </c>
      <c r="AD38">
        <v>0</v>
      </c>
      <c r="AE38">
        <v>24553</v>
      </c>
      <c r="AF38">
        <v>0</v>
      </c>
      <c r="AG38">
        <v>0</v>
      </c>
      <c r="AH38">
        <v>0</v>
      </c>
      <c r="AI38">
        <v>6.72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0.012</v>
      </c>
      <c r="AV38">
        <v>0</v>
      </c>
      <c r="AW38">
        <v>1</v>
      </c>
      <c r="AX38">
        <v>-1</v>
      </c>
      <c r="AY38">
        <v>0</v>
      </c>
      <c r="AZ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Y38*Source!I39</f>
        <v>0.0868128</v>
      </c>
      <c r="CY38">
        <f>AA38</f>
        <v>164996.16</v>
      </c>
      <c r="CZ38">
        <f>AE38</f>
        <v>24553</v>
      </c>
      <c r="DA38">
        <f>AI38</f>
        <v>6.72</v>
      </c>
      <c r="DB38">
        <f t="shared" si="2"/>
        <v>294.64</v>
      </c>
      <c r="DC38">
        <f t="shared" si="3"/>
        <v>0</v>
      </c>
    </row>
    <row r="39" spans="1:107" ht="12.75">
      <c r="A39">
        <f>ROW(Source!A76)</f>
        <v>76</v>
      </c>
      <c r="B39">
        <v>55670666</v>
      </c>
      <c r="C39">
        <v>55670897</v>
      </c>
      <c r="D39">
        <v>9670109</v>
      </c>
      <c r="E39">
        <v>1</v>
      </c>
      <c r="F39">
        <v>1</v>
      </c>
      <c r="G39">
        <v>1</v>
      </c>
      <c r="H39">
        <v>1</v>
      </c>
      <c r="I39" t="s">
        <v>269</v>
      </c>
      <c r="K39" t="s">
        <v>270</v>
      </c>
      <c r="L39">
        <v>1369</v>
      </c>
      <c r="N39">
        <v>1013</v>
      </c>
      <c r="O39" t="s">
        <v>260</v>
      </c>
      <c r="P39" t="s">
        <v>260</v>
      </c>
      <c r="Q39">
        <v>1</v>
      </c>
      <c r="W39">
        <v>0</v>
      </c>
      <c r="X39">
        <v>317644410</v>
      </c>
      <c r="Y39">
        <v>0.5777</v>
      </c>
      <c r="AA39">
        <v>0</v>
      </c>
      <c r="AB39">
        <v>0</v>
      </c>
      <c r="AC39">
        <v>0</v>
      </c>
      <c r="AD39">
        <v>7.19</v>
      </c>
      <c r="AE39">
        <v>0</v>
      </c>
      <c r="AF39">
        <v>0</v>
      </c>
      <c r="AG39">
        <v>0</v>
      </c>
      <c r="AH39">
        <v>7.19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0.5777</v>
      </c>
      <c r="AV39">
        <v>1</v>
      </c>
      <c r="AW39">
        <v>1</v>
      </c>
      <c r="AX39">
        <v>-1</v>
      </c>
      <c r="AY39">
        <v>0</v>
      </c>
      <c r="AZ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Y39*Source!I76</f>
        <v>1.55979</v>
      </c>
      <c r="CY39">
        <f>AD39</f>
        <v>7.19</v>
      </c>
      <c r="CZ39">
        <f>AH39</f>
        <v>7.19</v>
      </c>
      <c r="DA39">
        <f>AL39</f>
        <v>1</v>
      </c>
      <c r="DB39">
        <f t="shared" si="2"/>
        <v>4.15</v>
      </c>
      <c r="DC39">
        <f t="shared" si="3"/>
        <v>0</v>
      </c>
    </row>
    <row r="40" spans="1:107" ht="12.75">
      <c r="A40">
        <f>ROW(Source!A76)</f>
        <v>76</v>
      </c>
      <c r="B40">
        <v>55670666</v>
      </c>
      <c r="C40">
        <v>55670897</v>
      </c>
      <c r="D40">
        <v>0</v>
      </c>
      <c r="E40">
        <v>1</v>
      </c>
      <c r="F40">
        <v>1</v>
      </c>
      <c r="G40">
        <v>1</v>
      </c>
      <c r="H40">
        <v>2</v>
      </c>
      <c r="I40" t="s">
        <v>271</v>
      </c>
      <c r="J40" t="s">
        <v>272</v>
      </c>
      <c r="K40" t="s">
        <v>273</v>
      </c>
      <c r="L40">
        <v>1368</v>
      </c>
      <c r="N40">
        <v>1011</v>
      </c>
      <c r="O40" t="s">
        <v>235</v>
      </c>
      <c r="P40" t="s">
        <v>235</v>
      </c>
      <c r="Q40">
        <v>1</v>
      </c>
      <c r="W40">
        <v>0</v>
      </c>
      <c r="X40">
        <v>1020660697</v>
      </c>
      <c r="Y40">
        <v>0.29</v>
      </c>
      <c r="AA40">
        <v>0</v>
      </c>
      <c r="AB40">
        <v>111</v>
      </c>
      <c r="AC40">
        <v>11.6</v>
      </c>
      <c r="AD40">
        <v>0</v>
      </c>
      <c r="AE40">
        <v>0</v>
      </c>
      <c r="AF40">
        <v>111</v>
      </c>
      <c r="AG40">
        <v>11.6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0.29</v>
      </c>
      <c r="AV40">
        <v>0</v>
      </c>
      <c r="AW40">
        <v>1</v>
      </c>
      <c r="AX40">
        <v>-1</v>
      </c>
      <c r="AY40">
        <v>0</v>
      </c>
      <c r="AZ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Y40*Source!I76</f>
        <v>0.783</v>
      </c>
      <c r="CY40">
        <f>AB40</f>
        <v>111</v>
      </c>
      <c r="CZ40">
        <f>AF40</f>
        <v>111</v>
      </c>
      <c r="DA40">
        <f>AJ40</f>
        <v>1</v>
      </c>
      <c r="DB40">
        <f t="shared" si="2"/>
        <v>32.19</v>
      </c>
      <c r="DC40">
        <f t="shared" si="3"/>
        <v>3.36</v>
      </c>
    </row>
    <row r="41" spans="1:107" ht="12.75">
      <c r="A41">
        <f>ROW(Source!A77)</f>
        <v>77</v>
      </c>
      <c r="B41">
        <v>55671155</v>
      </c>
      <c r="C41">
        <v>55670897</v>
      </c>
      <c r="D41">
        <v>9670109</v>
      </c>
      <c r="E41">
        <v>1</v>
      </c>
      <c r="F41">
        <v>1</v>
      </c>
      <c r="G41">
        <v>1</v>
      </c>
      <c r="H41">
        <v>1</v>
      </c>
      <c r="I41" t="s">
        <v>269</v>
      </c>
      <c r="K41" t="s">
        <v>270</v>
      </c>
      <c r="L41">
        <v>1369</v>
      </c>
      <c r="N41">
        <v>1013</v>
      </c>
      <c r="O41" t="s">
        <v>260</v>
      </c>
      <c r="P41" t="s">
        <v>260</v>
      </c>
      <c r="Q41">
        <v>1</v>
      </c>
      <c r="W41">
        <v>0</v>
      </c>
      <c r="X41">
        <v>317644410</v>
      </c>
      <c r="Y41">
        <v>0.5777</v>
      </c>
      <c r="AA41">
        <v>0</v>
      </c>
      <c r="AB41">
        <v>0</v>
      </c>
      <c r="AC41">
        <v>0</v>
      </c>
      <c r="AD41">
        <v>268.47</v>
      </c>
      <c r="AE41">
        <v>0</v>
      </c>
      <c r="AF41">
        <v>0</v>
      </c>
      <c r="AG41">
        <v>0</v>
      </c>
      <c r="AH41">
        <v>7.19</v>
      </c>
      <c r="AI41">
        <v>1</v>
      </c>
      <c r="AJ41">
        <v>1</v>
      </c>
      <c r="AK41">
        <v>1</v>
      </c>
      <c r="AL41">
        <v>37.34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0.5777</v>
      </c>
      <c r="AV41">
        <v>1</v>
      </c>
      <c r="AW41">
        <v>1</v>
      </c>
      <c r="AX41">
        <v>-1</v>
      </c>
      <c r="AY41">
        <v>0</v>
      </c>
      <c r="AZ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Y41*Source!I77</f>
        <v>1.55979</v>
      </c>
      <c r="CY41">
        <f>AD41</f>
        <v>268.47</v>
      </c>
      <c r="CZ41">
        <f>AH41</f>
        <v>7.19</v>
      </c>
      <c r="DA41">
        <f>AL41</f>
        <v>37.34</v>
      </c>
      <c r="DB41">
        <f t="shared" si="2"/>
        <v>4.15</v>
      </c>
      <c r="DC41">
        <f t="shared" si="3"/>
        <v>0</v>
      </c>
    </row>
    <row r="42" spans="1:107" ht="12.75">
      <c r="A42">
        <f>ROW(Source!A77)</f>
        <v>77</v>
      </c>
      <c r="B42">
        <v>55671155</v>
      </c>
      <c r="C42">
        <v>55670897</v>
      </c>
      <c r="D42">
        <v>0</v>
      </c>
      <c r="E42">
        <v>1</v>
      </c>
      <c r="F42">
        <v>1</v>
      </c>
      <c r="G42">
        <v>1</v>
      </c>
      <c r="H42">
        <v>2</v>
      </c>
      <c r="I42" t="s">
        <v>271</v>
      </c>
      <c r="J42" t="s">
        <v>272</v>
      </c>
      <c r="K42" t="s">
        <v>273</v>
      </c>
      <c r="L42">
        <v>1368</v>
      </c>
      <c r="N42">
        <v>1011</v>
      </c>
      <c r="O42" t="s">
        <v>235</v>
      </c>
      <c r="P42" t="s">
        <v>235</v>
      </c>
      <c r="Q42">
        <v>1</v>
      </c>
      <c r="W42">
        <v>0</v>
      </c>
      <c r="X42">
        <v>1020660697</v>
      </c>
      <c r="Y42">
        <v>0.29</v>
      </c>
      <c r="AA42">
        <v>0</v>
      </c>
      <c r="AB42">
        <v>1469.64</v>
      </c>
      <c r="AC42">
        <v>433.14</v>
      </c>
      <c r="AD42">
        <v>0</v>
      </c>
      <c r="AE42">
        <v>0</v>
      </c>
      <c r="AF42">
        <v>111</v>
      </c>
      <c r="AG42">
        <v>11.6</v>
      </c>
      <c r="AH42">
        <v>0</v>
      </c>
      <c r="AI42">
        <v>1</v>
      </c>
      <c r="AJ42">
        <v>13.24</v>
      </c>
      <c r="AK42">
        <v>37.34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0.29</v>
      </c>
      <c r="AV42">
        <v>0</v>
      </c>
      <c r="AW42">
        <v>1</v>
      </c>
      <c r="AX42">
        <v>-1</v>
      </c>
      <c r="AY42">
        <v>0</v>
      </c>
      <c r="AZ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Y42*Source!I77</f>
        <v>0.783</v>
      </c>
      <c r="CY42">
        <f>AB42</f>
        <v>1469.64</v>
      </c>
      <c r="CZ42">
        <f>AF42</f>
        <v>111</v>
      </c>
      <c r="DA42">
        <f>AJ42</f>
        <v>13.24</v>
      </c>
      <c r="DB42">
        <f t="shared" si="2"/>
        <v>32.19</v>
      </c>
      <c r="DC42">
        <f t="shared" si="3"/>
        <v>3.36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55670850</v>
      </c>
      <c r="C1">
        <v>55670843</v>
      </c>
      <c r="D1">
        <v>44800255</v>
      </c>
      <c r="E1">
        <v>54</v>
      </c>
      <c r="F1">
        <v>1</v>
      </c>
      <c r="G1">
        <v>1</v>
      </c>
      <c r="H1">
        <v>1</v>
      </c>
      <c r="I1" t="s">
        <v>227</v>
      </c>
      <c r="K1" t="s">
        <v>228</v>
      </c>
      <c r="L1">
        <v>1191</v>
      </c>
      <c r="N1">
        <v>1013</v>
      </c>
      <c r="O1" t="s">
        <v>229</v>
      </c>
      <c r="P1" t="s">
        <v>229</v>
      </c>
      <c r="Q1">
        <v>1</v>
      </c>
      <c r="X1">
        <v>70.2</v>
      </c>
      <c r="Y1">
        <v>0</v>
      </c>
      <c r="Z1">
        <v>0</v>
      </c>
      <c r="AA1">
        <v>0</v>
      </c>
      <c r="AB1">
        <v>8.64</v>
      </c>
      <c r="AC1">
        <v>0</v>
      </c>
      <c r="AD1">
        <v>1</v>
      </c>
      <c r="AE1">
        <v>1</v>
      </c>
      <c r="AF1" t="s">
        <v>32</v>
      </c>
      <c r="AG1">
        <v>80.73</v>
      </c>
      <c r="AH1">
        <v>2</v>
      </c>
      <c r="AI1">
        <v>55670844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55670851</v>
      </c>
      <c r="C2">
        <v>55670843</v>
      </c>
      <c r="D2">
        <v>44800452</v>
      </c>
      <c r="E2">
        <v>54</v>
      </c>
      <c r="F2">
        <v>1</v>
      </c>
      <c r="G2">
        <v>1</v>
      </c>
      <c r="H2">
        <v>1</v>
      </c>
      <c r="I2" t="s">
        <v>230</v>
      </c>
      <c r="K2" t="s">
        <v>231</v>
      </c>
      <c r="L2">
        <v>1191</v>
      </c>
      <c r="N2">
        <v>1013</v>
      </c>
      <c r="O2" t="s">
        <v>229</v>
      </c>
      <c r="P2" t="s">
        <v>229</v>
      </c>
      <c r="Q2">
        <v>1</v>
      </c>
      <c r="X2">
        <v>0.18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31</v>
      </c>
      <c r="AG2">
        <v>0.22499999999999998</v>
      </c>
      <c r="AH2">
        <v>2</v>
      </c>
      <c r="AI2">
        <v>55670845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55670852</v>
      </c>
      <c r="C3">
        <v>55670843</v>
      </c>
      <c r="D3">
        <v>44977280</v>
      </c>
      <c r="E3">
        <v>1</v>
      </c>
      <c r="F3">
        <v>1</v>
      </c>
      <c r="G3">
        <v>1</v>
      </c>
      <c r="H3">
        <v>2</v>
      </c>
      <c r="I3" t="s">
        <v>232</v>
      </c>
      <c r="J3" t="s">
        <v>233</v>
      </c>
      <c r="K3" t="s">
        <v>234</v>
      </c>
      <c r="L3">
        <v>1368</v>
      </c>
      <c r="N3">
        <v>1011</v>
      </c>
      <c r="O3" t="s">
        <v>235</v>
      </c>
      <c r="P3" t="s">
        <v>235</v>
      </c>
      <c r="Q3">
        <v>1</v>
      </c>
      <c r="X3">
        <v>0.18</v>
      </c>
      <c r="Y3">
        <v>0</v>
      </c>
      <c r="Z3">
        <v>65.71</v>
      </c>
      <c r="AA3">
        <v>11.6</v>
      </c>
      <c r="AB3">
        <v>0</v>
      </c>
      <c r="AC3">
        <v>0</v>
      </c>
      <c r="AD3">
        <v>1</v>
      </c>
      <c r="AE3">
        <v>0</v>
      </c>
      <c r="AF3" t="s">
        <v>31</v>
      </c>
      <c r="AG3">
        <v>0.22499999999999998</v>
      </c>
      <c r="AH3">
        <v>2</v>
      </c>
      <c r="AI3">
        <v>55670846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55670853</v>
      </c>
      <c r="C4">
        <v>55670843</v>
      </c>
      <c r="D4">
        <v>44815662</v>
      </c>
      <c r="E4">
        <v>1</v>
      </c>
      <c r="F4">
        <v>1</v>
      </c>
      <c r="G4">
        <v>1</v>
      </c>
      <c r="H4">
        <v>3</v>
      </c>
      <c r="I4" t="s">
        <v>236</v>
      </c>
      <c r="J4" t="s">
        <v>237</v>
      </c>
      <c r="K4" t="s">
        <v>238</v>
      </c>
      <c r="L4">
        <v>1339</v>
      </c>
      <c r="N4">
        <v>1007</v>
      </c>
      <c r="O4" t="s">
        <v>239</v>
      </c>
      <c r="P4" t="s">
        <v>239</v>
      </c>
      <c r="Q4">
        <v>1</v>
      </c>
      <c r="X4">
        <v>0.008</v>
      </c>
      <c r="Y4">
        <v>1100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G4">
        <v>0.008</v>
      </c>
      <c r="AH4">
        <v>2</v>
      </c>
      <c r="AI4">
        <v>55670847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55670854</v>
      </c>
      <c r="C5">
        <v>55670843</v>
      </c>
      <c r="D5">
        <v>44815664</v>
      </c>
      <c r="E5">
        <v>1</v>
      </c>
      <c r="F5">
        <v>1</v>
      </c>
      <c r="G5">
        <v>1</v>
      </c>
      <c r="H5">
        <v>3</v>
      </c>
      <c r="I5" t="s">
        <v>240</v>
      </c>
      <c r="J5" t="s">
        <v>241</v>
      </c>
      <c r="K5" t="s">
        <v>242</v>
      </c>
      <c r="L5">
        <v>1348</v>
      </c>
      <c r="N5">
        <v>1009</v>
      </c>
      <c r="O5" t="s">
        <v>65</v>
      </c>
      <c r="P5" t="s">
        <v>65</v>
      </c>
      <c r="Q5">
        <v>1000</v>
      </c>
      <c r="X5">
        <v>0.029</v>
      </c>
      <c r="Y5">
        <v>6102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0.029</v>
      </c>
      <c r="AH5">
        <v>2</v>
      </c>
      <c r="AI5">
        <v>55670848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55670855</v>
      </c>
      <c r="C6">
        <v>55670843</v>
      </c>
      <c r="D6">
        <v>44841949</v>
      </c>
      <c r="E6">
        <v>1</v>
      </c>
      <c r="F6">
        <v>1</v>
      </c>
      <c r="G6">
        <v>1</v>
      </c>
      <c r="H6">
        <v>3</v>
      </c>
      <c r="I6" t="s">
        <v>243</v>
      </c>
      <c r="J6" t="s">
        <v>244</v>
      </c>
      <c r="K6" t="s">
        <v>245</v>
      </c>
      <c r="L6">
        <v>1327</v>
      </c>
      <c r="N6">
        <v>1005</v>
      </c>
      <c r="O6" t="s">
        <v>56</v>
      </c>
      <c r="P6" t="s">
        <v>56</v>
      </c>
      <c r="Q6">
        <v>1</v>
      </c>
      <c r="X6">
        <v>5.5</v>
      </c>
      <c r="Y6">
        <v>35.22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5.5</v>
      </c>
      <c r="AH6">
        <v>2</v>
      </c>
      <c r="AI6">
        <v>55670849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ROW(Source!A29)</f>
        <v>29</v>
      </c>
      <c r="B7">
        <v>55670850</v>
      </c>
      <c r="C7">
        <v>55670843</v>
      </c>
      <c r="D7">
        <v>44800255</v>
      </c>
      <c r="E7">
        <v>54</v>
      </c>
      <c r="F7">
        <v>1</v>
      </c>
      <c r="G7">
        <v>1</v>
      </c>
      <c r="H7">
        <v>1</v>
      </c>
      <c r="I7" t="s">
        <v>227</v>
      </c>
      <c r="K7" t="s">
        <v>228</v>
      </c>
      <c r="L7">
        <v>1191</v>
      </c>
      <c r="N7">
        <v>1013</v>
      </c>
      <c r="O7" t="s">
        <v>229</v>
      </c>
      <c r="P7" t="s">
        <v>229</v>
      </c>
      <c r="Q7">
        <v>1</v>
      </c>
      <c r="X7">
        <v>70.2</v>
      </c>
      <c r="Y7">
        <v>0</v>
      </c>
      <c r="Z7">
        <v>0</v>
      </c>
      <c r="AA7">
        <v>0</v>
      </c>
      <c r="AB7">
        <v>8.64</v>
      </c>
      <c r="AC7">
        <v>0</v>
      </c>
      <c r="AD7">
        <v>1</v>
      </c>
      <c r="AE7">
        <v>1</v>
      </c>
      <c r="AF7" t="s">
        <v>32</v>
      </c>
      <c r="AG7">
        <v>80.73</v>
      </c>
      <c r="AH7">
        <v>2</v>
      </c>
      <c r="AI7">
        <v>55670844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ROW(Source!A29)</f>
        <v>29</v>
      </c>
      <c r="B8">
        <v>55670851</v>
      </c>
      <c r="C8">
        <v>55670843</v>
      </c>
      <c r="D8">
        <v>44800452</v>
      </c>
      <c r="E8">
        <v>54</v>
      </c>
      <c r="F8">
        <v>1</v>
      </c>
      <c r="G8">
        <v>1</v>
      </c>
      <c r="H8">
        <v>1</v>
      </c>
      <c r="I8" t="s">
        <v>230</v>
      </c>
      <c r="K8" t="s">
        <v>231</v>
      </c>
      <c r="L8">
        <v>1191</v>
      </c>
      <c r="N8">
        <v>1013</v>
      </c>
      <c r="O8" t="s">
        <v>229</v>
      </c>
      <c r="P8" t="s">
        <v>229</v>
      </c>
      <c r="Q8">
        <v>1</v>
      </c>
      <c r="X8">
        <v>0.18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31</v>
      </c>
      <c r="AG8">
        <v>0.22499999999999998</v>
      </c>
      <c r="AH8">
        <v>2</v>
      </c>
      <c r="AI8">
        <v>55670845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ROW(Source!A29)</f>
        <v>29</v>
      </c>
      <c r="B9">
        <v>55670852</v>
      </c>
      <c r="C9">
        <v>55670843</v>
      </c>
      <c r="D9">
        <v>44977280</v>
      </c>
      <c r="E9">
        <v>1</v>
      </c>
      <c r="F9">
        <v>1</v>
      </c>
      <c r="G9">
        <v>1</v>
      </c>
      <c r="H9">
        <v>2</v>
      </c>
      <c r="I9" t="s">
        <v>232</v>
      </c>
      <c r="J9" t="s">
        <v>233</v>
      </c>
      <c r="K9" t="s">
        <v>234</v>
      </c>
      <c r="L9">
        <v>1368</v>
      </c>
      <c r="N9">
        <v>1011</v>
      </c>
      <c r="O9" t="s">
        <v>235</v>
      </c>
      <c r="P9" t="s">
        <v>235</v>
      </c>
      <c r="Q9">
        <v>1</v>
      </c>
      <c r="X9">
        <v>0.18</v>
      </c>
      <c r="Y9">
        <v>0</v>
      </c>
      <c r="Z9">
        <v>65.71</v>
      </c>
      <c r="AA9">
        <v>11.6</v>
      </c>
      <c r="AB9">
        <v>0</v>
      </c>
      <c r="AC9">
        <v>0</v>
      </c>
      <c r="AD9">
        <v>1</v>
      </c>
      <c r="AE9">
        <v>0</v>
      </c>
      <c r="AF9" t="s">
        <v>31</v>
      </c>
      <c r="AG9">
        <v>0.22499999999999998</v>
      </c>
      <c r="AH9">
        <v>2</v>
      </c>
      <c r="AI9">
        <v>55670846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ROW(Source!A29)</f>
        <v>29</v>
      </c>
      <c r="B10">
        <v>55670853</v>
      </c>
      <c r="C10">
        <v>55670843</v>
      </c>
      <c r="D10">
        <v>44815662</v>
      </c>
      <c r="E10">
        <v>1</v>
      </c>
      <c r="F10">
        <v>1</v>
      </c>
      <c r="G10">
        <v>1</v>
      </c>
      <c r="H10">
        <v>3</v>
      </c>
      <c r="I10" t="s">
        <v>236</v>
      </c>
      <c r="J10" t="s">
        <v>237</v>
      </c>
      <c r="K10" t="s">
        <v>238</v>
      </c>
      <c r="L10">
        <v>1339</v>
      </c>
      <c r="N10">
        <v>1007</v>
      </c>
      <c r="O10" t="s">
        <v>239</v>
      </c>
      <c r="P10" t="s">
        <v>239</v>
      </c>
      <c r="Q10">
        <v>1</v>
      </c>
      <c r="X10">
        <v>0.008</v>
      </c>
      <c r="Y10">
        <v>1100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0.008</v>
      </c>
      <c r="AH10">
        <v>2</v>
      </c>
      <c r="AI10">
        <v>55670847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ROW(Source!A29)</f>
        <v>29</v>
      </c>
      <c r="B11">
        <v>55670854</v>
      </c>
      <c r="C11">
        <v>55670843</v>
      </c>
      <c r="D11">
        <v>44815664</v>
      </c>
      <c r="E11">
        <v>1</v>
      </c>
      <c r="F11">
        <v>1</v>
      </c>
      <c r="G11">
        <v>1</v>
      </c>
      <c r="H11">
        <v>3</v>
      </c>
      <c r="I11" t="s">
        <v>240</v>
      </c>
      <c r="J11" t="s">
        <v>241</v>
      </c>
      <c r="K11" t="s">
        <v>242</v>
      </c>
      <c r="L11">
        <v>1348</v>
      </c>
      <c r="N11">
        <v>1009</v>
      </c>
      <c r="O11" t="s">
        <v>65</v>
      </c>
      <c r="P11" t="s">
        <v>65</v>
      </c>
      <c r="Q11">
        <v>1000</v>
      </c>
      <c r="X11">
        <v>0.029</v>
      </c>
      <c r="Y11">
        <v>6102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0.029</v>
      </c>
      <c r="AH11">
        <v>2</v>
      </c>
      <c r="AI11">
        <v>55670848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ROW(Source!A29)</f>
        <v>29</v>
      </c>
      <c r="B12">
        <v>55670855</v>
      </c>
      <c r="C12">
        <v>55670843</v>
      </c>
      <c r="D12">
        <v>44841949</v>
      </c>
      <c r="E12">
        <v>1</v>
      </c>
      <c r="F12">
        <v>1</v>
      </c>
      <c r="G12">
        <v>1</v>
      </c>
      <c r="H12">
        <v>3</v>
      </c>
      <c r="I12" t="s">
        <v>243</v>
      </c>
      <c r="J12" t="s">
        <v>244</v>
      </c>
      <c r="K12" t="s">
        <v>245</v>
      </c>
      <c r="L12">
        <v>1327</v>
      </c>
      <c r="N12">
        <v>1005</v>
      </c>
      <c r="O12" t="s">
        <v>56</v>
      </c>
      <c r="P12" t="s">
        <v>56</v>
      </c>
      <c r="Q12">
        <v>1</v>
      </c>
      <c r="X12">
        <v>5.5</v>
      </c>
      <c r="Y12">
        <v>35.22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5.5</v>
      </c>
      <c r="AH12">
        <v>2</v>
      </c>
      <c r="AI12">
        <v>55670849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ROW(Source!A30)</f>
        <v>30</v>
      </c>
      <c r="B13">
        <v>55670866</v>
      </c>
      <c r="C13">
        <v>55670856</v>
      </c>
      <c r="D13">
        <v>44800280</v>
      </c>
      <c r="E13">
        <v>54</v>
      </c>
      <c r="F13">
        <v>1</v>
      </c>
      <c r="G13">
        <v>1</v>
      </c>
      <c r="H13">
        <v>1</v>
      </c>
      <c r="I13" t="s">
        <v>246</v>
      </c>
      <c r="K13" t="s">
        <v>247</v>
      </c>
      <c r="L13">
        <v>1191</v>
      </c>
      <c r="N13">
        <v>1013</v>
      </c>
      <c r="O13" t="s">
        <v>229</v>
      </c>
      <c r="P13" t="s">
        <v>229</v>
      </c>
      <c r="Q13">
        <v>1</v>
      </c>
      <c r="X13">
        <v>132</v>
      </c>
      <c r="Y13">
        <v>0</v>
      </c>
      <c r="Z13">
        <v>0</v>
      </c>
      <c r="AA13">
        <v>0</v>
      </c>
      <c r="AB13">
        <v>9.18</v>
      </c>
      <c r="AC13">
        <v>0</v>
      </c>
      <c r="AD13">
        <v>1</v>
      </c>
      <c r="AE13">
        <v>1</v>
      </c>
      <c r="AG13">
        <v>132</v>
      </c>
      <c r="AH13">
        <v>2</v>
      </c>
      <c r="AI13">
        <v>55670857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ROW(Source!A30)</f>
        <v>30</v>
      </c>
      <c r="B14">
        <v>55670867</v>
      </c>
      <c r="C14">
        <v>55670856</v>
      </c>
      <c r="D14">
        <v>44800452</v>
      </c>
      <c r="E14">
        <v>54</v>
      </c>
      <c r="F14">
        <v>1</v>
      </c>
      <c r="G14">
        <v>1</v>
      </c>
      <c r="H14">
        <v>1</v>
      </c>
      <c r="I14" t="s">
        <v>230</v>
      </c>
      <c r="K14" t="s">
        <v>231</v>
      </c>
      <c r="L14">
        <v>1191</v>
      </c>
      <c r="N14">
        <v>1013</v>
      </c>
      <c r="O14" t="s">
        <v>229</v>
      </c>
      <c r="P14" t="s">
        <v>229</v>
      </c>
      <c r="Q14">
        <v>1</v>
      </c>
      <c r="X14">
        <v>0.5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G14">
        <v>0.5</v>
      </c>
      <c r="AH14">
        <v>2</v>
      </c>
      <c r="AI14">
        <v>55670858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ROW(Source!A30)</f>
        <v>30</v>
      </c>
      <c r="B15">
        <v>55670868</v>
      </c>
      <c r="C15">
        <v>55670856</v>
      </c>
      <c r="D15">
        <v>44976465</v>
      </c>
      <c r="E15">
        <v>1</v>
      </c>
      <c r="F15">
        <v>1</v>
      </c>
      <c r="G15">
        <v>1</v>
      </c>
      <c r="H15">
        <v>2</v>
      </c>
      <c r="I15" t="s">
        <v>248</v>
      </c>
      <c r="J15" t="s">
        <v>249</v>
      </c>
      <c r="K15" t="s">
        <v>250</v>
      </c>
      <c r="L15">
        <v>1368</v>
      </c>
      <c r="N15">
        <v>1011</v>
      </c>
      <c r="O15" t="s">
        <v>235</v>
      </c>
      <c r="P15" t="s">
        <v>235</v>
      </c>
      <c r="Q15">
        <v>1</v>
      </c>
      <c r="X15">
        <v>0.25</v>
      </c>
      <c r="Y15">
        <v>0</v>
      </c>
      <c r="Z15">
        <v>31.26</v>
      </c>
      <c r="AA15">
        <v>13.5</v>
      </c>
      <c r="AB15">
        <v>0</v>
      </c>
      <c r="AC15">
        <v>0</v>
      </c>
      <c r="AD15">
        <v>1</v>
      </c>
      <c r="AE15">
        <v>0</v>
      </c>
      <c r="AG15">
        <v>0.25</v>
      </c>
      <c r="AH15">
        <v>2</v>
      </c>
      <c r="AI15">
        <v>55670859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ROW(Source!A30)</f>
        <v>30</v>
      </c>
      <c r="B16">
        <v>55670869</v>
      </c>
      <c r="C16">
        <v>55670856</v>
      </c>
      <c r="D16">
        <v>44977280</v>
      </c>
      <c r="E16">
        <v>1</v>
      </c>
      <c r="F16">
        <v>1</v>
      </c>
      <c r="G16">
        <v>1</v>
      </c>
      <c r="H16">
        <v>2</v>
      </c>
      <c r="I16" t="s">
        <v>232</v>
      </c>
      <c r="J16" t="s">
        <v>233</v>
      </c>
      <c r="K16" t="s">
        <v>234</v>
      </c>
      <c r="L16">
        <v>1368</v>
      </c>
      <c r="N16">
        <v>1011</v>
      </c>
      <c r="O16" t="s">
        <v>235</v>
      </c>
      <c r="P16" t="s">
        <v>235</v>
      </c>
      <c r="Q16">
        <v>1</v>
      </c>
      <c r="X16">
        <v>0.25</v>
      </c>
      <c r="Y16">
        <v>0</v>
      </c>
      <c r="Z16">
        <v>65.71</v>
      </c>
      <c r="AA16">
        <v>11.6</v>
      </c>
      <c r="AB16">
        <v>0</v>
      </c>
      <c r="AC16">
        <v>0</v>
      </c>
      <c r="AD16">
        <v>1</v>
      </c>
      <c r="AE16">
        <v>0</v>
      </c>
      <c r="AG16">
        <v>0.25</v>
      </c>
      <c r="AH16">
        <v>2</v>
      </c>
      <c r="AI16">
        <v>55670860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ROW(Source!A30)</f>
        <v>30</v>
      </c>
      <c r="B17">
        <v>55670870</v>
      </c>
      <c r="C17">
        <v>55670856</v>
      </c>
      <c r="D17">
        <v>44816214</v>
      </c>
      <c r="E17">
        <v>1</v>
      </c>
      <c r="F17">
        <v>1</v>
      </c>
      <c r="G17">
        <v>1</v>
      </c>
      <c r="H17">
        <v>3</v>
      </c>
      <c r="I17" t="s">
        <v>251</v>
      </c>
      <c r="J17" t="s">
        <v>252</v>
      </c>
      <c r="K17" t="s">
        <v>253</v>
      </c>
      <c r="L17">
        <v>1346</v>
      </c>
      <c r="N17">
        <v>1009</v>
      </c>
      <c r="O17" t="s">
        <v>254</v>
      </c>
      <c r="P17" t="s">
        <v>254</v>
      </c>
      <c r="Q17">
        <v>1</v>
      </c>
      <c r="X17">
        <v>38.6</v>
      </c>
      <c r="Y17">
        <v>23.09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38.6</v>
      </c>
      <c r="AH17">
        <v>2</v>
      </c>
      <c r="AI17">
        <v>55670861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ROW(Source!A30)</f>
        <v>30</v>
      </c>
      <c r="B18">
        <v>55670871</v>
      </c>
      <c r="C18">
        <v>55670856</v>
      </c>
      <c r="D18">
        <v>44816408</v>
      </c>
      <c r="E18">
        <v>1</v>
      </c>
      <c r="F18">
        <v>1</v>
      </c>
      <c r="G18">
        <v>1</v>
      </c>
      <c r="H18">
        <v>3</v>
      </c>
      <c r="I18" t="s">
        <v>255</v>
      </c>
      <c r="J18" t="s">
        <v>256</v>
      </c>
      <c r="K18" t="s">
        <v>257</v>
      </c>
      <c r="L18">
        <v>1346</v>
      </c>
      <c r="N18">
        <v>1009</v>
      </c>
      <c r="O18" t="s">
        <v>254</v>
      </c>
      <c r="P18" t="s">
        <v>254</v>
      </c>
      <c r="Q18">
        <v>1</v>
      </c>
      <c r="X18">
        <v>0.2</v>
      </c>
      <c r="Y18">
        <v>1.82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0.2</v>
      </c>
      <c r="AH18">
        <v>2</v>
      </c>
      <c r="AI18">
        <v>55670862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ROW(Source!A30)</f>
        <v>30</v>
      </c>
      <c r="B19">
        <v>55670872</v>
      </c>
      <c r="C19">
        <v>55670856</v>
      </c>
      <c r="D19">
        <v>44801021</v>
      </c>
      <c r="E19">
        <v>54</v>
      </c>
      <c r="F19">
        <v>1</v>
      </c>
      <c r="G19">
        <v>1</v>
      </c>
      <c r="H19">
        <v>3</v>
      </c>
      <c r="I19" t="s">
        <v>274</v>
      </c>
      <c r="K19" t="s">
        <v>275</v>
      </c>
      <c r="L19">
        <v>1327</v>
      </c>
      <c r="N19">
        <v>1005</v>
      </c>
      <c r="O19" t="s">
        <v>56</v>
      </c>
      <c r="P19" t="s">
        <v>56</v>
      </c>
      <c r="Q19">
        <v>1</v>
      </c>
      <c r="X19">
        <v>103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G19">
        <v>103</v>
      </c>
      <c r="AH19">
        <v>3</v>
      </c>
      <c r="AI19">
        <v>-1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ROW(Source!A30)</f>
        <v>30</v>
      </c>
      <c r="B20">
        <v>55670873</v>
      </c>
      <c r="C20">
        <v>55670856</v>
      </c>
      <c r="D20">
        <v>44805115</v>
      </c>
      <c r="E20">
        <v>54</v>
      </c>
      <c r="F20">
        <v>1</v>
      </c>
      <c r="G20">
        <v>1</v>
      </c>
      <c r="H20">
        <v>3</v>
      </c>
      <c r="I20" t="s">
        <v>63</v>
      </c>
      <c r="K20" t="s">
        <v>64</v>
      </c>
      <c r="L20">
        <v>1348</v>
      </c>
      <c r="N20">
        <v>1009</v>
      </c>
      <c r="O20" t="s">
        <v>65</v>
      </c>
      <c r="P20" t="s">
        <v>65</v>
      </c>
      <c r="Q20">
        <v>1000</v>
      </c>
      <c r="X20">
        <v>0.98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G20">
        <v>0.98</v>
      </c>
      <c r="AH20">
        <v>2</v>
      </c>
      <c r="AI20">
        <v>55670863</v>
      </c>
      <c r="AJ20">
        <v>21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ROW(Source!A31)</f>
        <v>31</v>
      </c>
      <c r="B21">
        <v>55670866</v>
      </c>
      <c r="C21">
        <v>55670856</v>
      </c>
      <c r="D21">
        <v>44800280</v>
      </c>
      <c r="E21">
        <v>54</v>
      </c>
      <c r="F21">
        <v>1</v>
      </c>
      <c r="G21">
        <v>1</v>
      </c>
      <c r="H21">
        <v>1</v>
      </c>
      <c r="I21" t="s">
        <v>246</v>
      </c>
      <c r="K21" t="s">
        <v>247</v>
      </c>
      <c r="L21">
        <v>1191</v>
      </c>
      <c r="N21">
        <v>1013</v>
      </c>
      <c r="O21" t="s">
        <v>229</v>
      </c>
      <c r="P21" t="s">
        <v>229</v>
      </c>
      <c r="Q21">
        <v>1</v>
      </c>
      <c r="X21">
        <v>132</v>
      </c>
      <c r="Y21">
        <v>0</v>
      </c>
      <c r="Z21">
        <v>0</v>
      </c>
      <c r="AA21">
        <v>0</v>
      </c>
      <c r="AB21">
        <v>9.18</v>
      </c>
      <c r="AC21">
        <v>0</v>
      </c>
      <c r="AD21">
        <v>1</v>
      </c>
      <c r="AE21">
        <v>1</v>
      </c>
      <c r="AG21">
        <v>132</v>
      </c>
      <c r="AH21">
        <v>2</v>
      </c>
      <c r="AI21">
        <v>55670857</v>
      </c>
      <c r="AJ21">
        <v>22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ROW(Source!A31)</f>
        <v>31</v>
      </c>
      <c r="B22">
        <v>55670867</v>
      </c>
      <c r="C22">
        <v>55670856</v>
      </c>
      <c r="D22">
        <v>44800452</v>
      </c>
      <c r="E22">
        <v>54</v>
      </c>
      <c r="F22">
        <v>1</v>
      </c>
      <c r="G22">
        <v>1</v>
      </c>
      <c r="H22">
        <v>1</v>
      </c>
      <c r="I22" t="s">
        <v>230</v>
      </c>
      <c r="K22" t="s">
        <v>231</v>
      </c>
      <c r="L22">
        <v>1191</v>
      </c>
      <c r="N22">
        <v>1013</v>
      </c>
      <c r="O22" t="s">
        <v>229</v>
      </c>
      <c r="P22" t="s">
        <v>229</v>
      </c>
      <c r="Q22">
        <v>1</v>
      </c>
      <c r="X22">
        <v>0.5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G22">
        <v>0.5</v>
      </c>
      <c r="AH22">
        <v>2</v>
      </c>
      <c r="AI22">
        <v>55670858</v>
      </c>
      <c r="AJ22">
        <v>23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ROW(Source!A31)</f>
        <v>31</v>
      </c>
      <c r="B23">
        <v>55670868</v>
      </c>
      <c r="C23">
        <v>55670856</v>
      </c>
      <c r="D23">
        <v>44976465</v>
      </c>
      <c r="E23">
        <v>1</v>
      </c>
      <c r="F23">
        <v>1</v>
      </c>
      <c r="G23">
        <v>1</v>
      </c>
      <c r="H23">
        <v>2</v>
      </c>
      <c r="I23" t="s">
        <v>248</v>
      </c>
      <c r="J23" t="s">
        <v>249</v>
      </c>
      <c r="K23" t="s">
        <v>250</v>
      </c>
      <c r="L23">
        <v>1368</v>
      </c>
      <c r="N23">
        <v>1011</v>
      </c>
      <c r="O23" t="s">
        <v>235</v>
      </c>
      <c r="P23" t="s">
        <v>235</v>
      </c>
      <c r="Q23">
        <v>1</v>
      </c>
      <c r="X23">
        <v>0.25</v>
      </c>
      <c r="Y23">
        <v>0</v>
      </c>
      <c r="Z23">
        <v>31.26</v>
      </c>
      <c r="AA23">
        <v>13.5</v>
      </c>
      <c r="AB23">
        <v>0</v>
      </c>
      <c r="AC23">
        <v>0</v>
      </c>
      <c r="AD23">
        <v>1</v>
      </c>
      <c r="AE23">
        <v>0</v>
      </c>
      <c r="AG23">
        <v>0.25</v>
      </c>
      <c r="AH23">
        <v>2</v>
      </c>
      <c r="AI23">
        <v>55670859</v>
      </c>
      <c r="AJ23">
        <v>24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ROW(Source!A31)</f>
        <v>31</v>
      </c>
      <c r="B24">
        <v>55670869</v>
      </c>
      <c r="C24">
        <v>55670856</v>
      </c>
      <c r="D24">
        <v>44977280</v>
      </c>
      <c r="E24">
        <v>1</v>
      </c>
      <c r="F24">
        <v>1</v>
      </c>
      <c r="G24">
        <v>1</v>
      </c>
      <c r="H24">
        <v>2</v>
      </c>
      <c r="I24" t="s">
        <v>232</v>
      </c>
      <c r="J24" t="s">
        <v>233</v>
      </c>
      <c r="K24" t="s">
        <v>234</v>
      </c>
      <c r="L24">
        <v>1368</v>
      </c>
      <c r="N24">
        <v>1011</v>
      </c>
      <c r="O24" t="s">
        <v>235</v>
      </c>
      <c r="P24" t="s">
        <v>235</v>
      </c>
      <c r="Q24">
        <v>1</v>
      </c>
      <c r="X24">
        <v>0.25</v>
      </c>
      <c r="Y24">
        <v>0</v>
      </c>
      <c r="Z24">
        <v>65.71</v>
      </c>
      <c r="AA24">
        <v>11.6</v>
      </c>
      <c r="AB24">
        <v>0</v>
      </c>
      <c r="AC24">
        <v>0</v>
      </c>
      <c r="AD24">
        <v>1</v>
      </c>
      <c r="AE24">
        <v>0</v>
      </c>
      <c r="AG24">
        <v>0.25</v>
      </c>
      <c r="AH24">
        <v>2</v>
      </c>
      <c r="AI24">
        <v>55670860</v>
      </c>
      <c r="AJ24">
        <v>25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ROW(Source!A31)</f>
        <v>31</v>
      </c>
      <c r="B25">
        <v>55670870</v>
      </c>
      <c r="C25">
        <v>55670856</v>
      </c>
      <c r="D25">
        <v>44816214</v>
      </c>
      <c r="E25">
        <v>1</v>
      </c>
      <c r="F25">
        <v>1</v>
      </c>
      <c r="G25">
        <v>1</v>
      </c>
      <c r="H25">
        <v>3</v>
      </c>
      <c r="I25" t="s">
        <v>251</v>
      </c>
      <c r="J25" t="s">
        <v>252</v>
      </c>
      <c r="K25" t="s">
        <v>253</v>
      </c>
      <c r="L25">
        <v>1346</v>
      </c>
      <c r="N25">
        <v>1009</v>
      </c>
      <c r="O25" t="s">
        <v>254</v>
      </c>
      <c r="P25" t="s">
        <v>254</v>
      </c>
      <c r="Q25">
        <v>1</v>
      </c>
      <c r="X25">
        <v>38.6</v>
      </c>
      <c r="Y25">
        <v>23.09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38.6</v>
      </c>
      <c r="AH25">
        <v>2</v>
      </c>
      <c r="AI25">
        <v>55670861</v>
      </c>
      <c r="AJ25">
        <v>26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ROW(Source!A31)</f>
        <v>31</v>
      </c>
      <c r="B26">
        <v>55670871</v>
      </c>
      <c r="C26">
        <v>55670856</v>
      </c>
      <c r="D26">
        <v>44816408</v>
      </c>
      <c r="E26">
        <v>1</v>
      </c>
      <c r="F26">
        <v>1</v>
      </c>
      <c r="G26">
        <v>1</v>
      </c>
      <c r="H26">
        <v>3</v>
      </c>
      <c r="I26" t="s">
        <v>255</v>
      </c>
      <c r="J26" t="s">
        <v>256</v>
      </c>
      <c r="K26" t="s">
        <v>257</v>
      </c>
      <c r="L26">
        <v>1346</v>
      </c>
      <c r="N26">
        <v>1009</v>
      </c>
      <c r="O26" t="s">
        <v>254</v>
      </c>
      <c r="P26" t="s">
        <v>254</v>
      </c>
      <c r="Q26">
        <v>1</v>
      </c>
      <c r="X26">
        <v>0.2</v>
      </c>
      <c r="Y26">
        <v>1.82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0.2</v>
      </c>
      <c r="AH26">
        <v>2</v>
      </c>
      <c r="AI26">
        <v>55670862</v>
      </c>
      <c r="AJ26">
        <v>27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ROW(Source!A31)</f>
        <v>31</v>
      </c>
      <c r="B27">
        <v>55670872</v>
      </c>
      <c r="C27">
        <v>55670856</v>
      </c>
      <c r="D27">
        <v>44801021</v>
      </c>
      <c r="E27">
        <v>54</v>
      </c>
      <c r="F27">
        <v>1</v>
      </c>
      <c r="G27">
        <v>1</v>
      </c>
      <c r="H27">
        <v>3</v>
      </c>
      <c r="I27" t="s">
        <v>274</v>
      </c>
      <c r="K27" t="s">
        <v>275</v>
      </c>
      <c r="L27">
        <v>1327</v>
      </c>
      <c r="N27">
        <v>1005</v>
      </c>
      <c r="O27" t="s">
        <v>56</v>
      </c>
      <c r="P27" t="s">
        <v>56</v>
      </c>
      <c r="Q27">
        <v>1</v>
      </c>
      <c r="X27">
        <v>103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G27">
        <v>103</v>
      </c>
      <c r="AH27">
        <v>3</v>
      </c>
      <c r="AI27">
        <v>-1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ROW(Source!A31)</f>
        <v>31</v>
      </c>
      <c r="B28">
        <v>55670873</v>
      </c>
      <c r="C28">
        <v>55670856</v>
      </c>
      <c r="D28">
        <v>44805115</v>
      </c>
      <c r="E28">
        <v>54</v>
      </c>
      <c r="F28">
        <v>1</v>
      </c>
      <c r="G28">
        <v>1</v>
      </c>
      <c r="H28">
        <v>3</v>
      </c>
      <c r="I28" t="s">
        <v>63</v>
      </c>
      <c r="K28" t="s">
        <v>64</v>
      </c>
      <c r="L28">
        <v>1348</v>
      </c>
      <c r="N28">
        <v>1009</v>
      </c>
      <c r="O28" t="s">
        <v>65</v>
      </c>
      <c r="P28" t="s">
        <v>65</v>
      </c>
      <c r="Q28">
        <v>1000</v>
      </c>
      <c r="X28">
        <v>0.98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G28">
        <v>0.98</v>
      </c>
      <c r="AH28">
        <v>2</v>
      </c>
      <c r="AI28">
        <v>55670863</v>
      </c>
      <c r="AJ28">
        <v>30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ROW(Source!A38)</f>
        <v>38</v>
      </c>
      <c r="B29">
        <v>55670887</v>
      </c>
      <c r="C29">
        <v>55670882</v>
      </c>
      <c r="D29">
        <v>44800273</v>
      </c>
      <c r="E29">
        <v>54</v>
      </c>
      <c r="F29">
        <v>1</v>
      </c>
      <c r="G29">
        <v>1</v>
      </c>
      <c r="H29">
        <v>1</v>
      </c>
      <c r="I29" t="s">
        <v>276</v>
      </c>
      <c r="K29" t="s">
        <v>277</v>
      </c>
      <c r="L29">
        <v>1191</v>
      </c>
      <c r="N29">
        <v>1013</v>
      </c>
      <c r="O29" t="s">
        <v>229</v>
      </c>
      <c r="P29" t="s">
        <v>229</v>
      </c>
      <c r="Q29">
        <v>1</v>
      </c>
      <c r="X29">
        <v>6.43</v>
      </c>
      <c r="Y29">
        <v>0</v>
      </c>
      <c r="Z29">
        <v>0</v>
      </c>
      <c r="AA29">
        <v>0</v>
      </c>
      <c r="AB29">
        <v>9.07</v>
      </c>
      <c r="AC29">
        <v>0</v>
      </c>
      <c r="AD29">
        <v>1</v>
      </c>
      <c r="AE29">
        <v>1</v>
      </c>
      <c r="AF29" t="s">
        <v>32</v>
      </c>
      <c r="AG29">
        <v>7.394499999999999</v>
      </c>
      <c r="AH29">
        <v>3</v>
      </c>
      <c r="AI29">
        <v>-1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ROW(Source!A38)</f>
        <v>38</v>
      </c>
      <c r="B30">
        <v>55670888</v>
      </c>
      <c r="C30">
        <v>55670882</v>
      </c>
      <c r="D30">
        <v>44800452</v>
      </c>
      <c r="E30">
        <v>54</v>
      </c>
      <c r="F30">
        <v>1</v>
      </c>
      <c r="G30">
        <v>1</v>
      </c>
      <c r="H30">
        <v>1</v>
      </c>
      <c r="I30" t="s">
        <v>230</v>
      </c>
      <c r="K30" t="s">
        <v>231</v>
      </c>
      <c r="L30">
        <v>1191</v>
      </c>
      <c r="N30">
        <v>1013</v>
      </c>
      <c r="O30" t="s">
        <v>229</v>
      </c>
      <c r="P30" t="s">
        <v>229</v>
      </c>
      <c r="Q30">
        <v>1</v>
      </c>
      <c r="X30">
        <v>0.13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31</v>
      </c>
      <c r="AG30">
        <v>0.1625</v>
      </c>
      <c r="AH30">
        <v>3</v>
      </c>
      <c r="AI30">
        <v>-1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ROW(Source!A38)</f>
        <v>38</v>
      </c>
      <c r="B31">
        <v>55670889</v>
      </c>
      <c r="C31">
        <v>55670882</v>
      </c>
      <c r="D31">
        <v>44977280</v>
      </c>
      <c r="E31">
        <v>1</v>
      </c>
      <c r="F31">
        <v>1</v>
      </c>
      <c r="G31">
        <v>1</v>
      </c>
      <c r="H31">
        <v>2</v>
      </c>
      <c r="I31" t="s">
        <v>232</v>
      </c>
      <c r="J31" t="s">
        <v>233</v>
      </c>
      <c r="K31" t="s">
        <v>234</v>
      </c>
      <c r="L31">
        <v>1368</v>
      </c>
      <c r="N31">
        <v>1011</v>
      </c>
      <c r="O31" t="s">
        <v>235</v>
      </c>
      <c r="P31" t="s">
        <v>235</v>
      </c>
      <c r="Q31">
        <v>1</v>
      </c>
      <c r="X31">
        <v>0.13</v>
      </c>
      <c r="Y31">
        <v>0</v>
      </c>
      <c r="Z31">
        <v>65.71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31</v>
      </c>
      <c r="AG31">
        <v>0.1625</v>
      </c>
      <c r="AH31">
        <v>3</v>
      </c>
      <c r="AI31">
        <v>-1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ROW(Source!A38)</f>
        <v>38</v>
      </c>
      <c r="B32">
        <v>55670890</v>
      </c>
      <c r="C32">
        <v>55670882</v>
      </c>
      <c r="D32">
        <v>44812876</v>
      </c>
      <c r="E32">
        <v>1</v>
      </c>
      <c r="F32">
        <v>1</v>
      </c>
      <c r="G32">
        <v>1</v>
      </c>
      <c r="H32">
        <v>3</v>
      </c>
      <c r="I32" t="s">
        <v>278</v>
      </c>
      <c r="J32" t="s">
        <v>279</v>
      </c>
      <c r="K32" t="s">
        <v>280</v>
      </c>
      <c r="L32">
        <v>1308</v>
      </c>
      <c r="N32">
        <v>1003</v>
      </c>
      <c r="O32" t="s">
        <v>69</v>
      </c>
      <c r="P32" t="s">
        <v>69</v>
      </c>
      <c r="Q32">
        <v>100</v>
      </c>
      <c r="X32">
        <v>1.05</v>
      </c>
      <c r="Y32">
        <v>2500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1.05</v>
      </c>
      <c r="AH32">
        <v>3</v>
      </c>
      <c r="AI32">
        <v>-1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ROW(Source!A38)</f>
        <v>38</v>
      </c>
      <c r="B33">
        <v>55670891</v>
      </c>
      <c r="C33">
        <v>55670882</v>
      </c>
      <c r="D33">
        <v>44850610</v>
      </c>
      <c r="E33">
        <v>1</v>
      </c>
      <c r="F33">
        <v>1</v>
      </c>
      <c r="G33">
        <v>1</v>
      </c>
      <c r="H33">
        <v>3</v>
      </c>
      <c r="I33" t="s">
        <v>281</v>
      </c>
      <c r="J33" t="s">
        <v>282</v>
      </c>
      <c r="K33" t="s">
        <v>283</v>
      </c>
      <c r="L33">
        <v>1348</v>
      </c>
      <c r="N33">
        <v>1009</v>
      </c>
      <c r="O33" t="s">
        <v>65</v>
      </c>
      <c r="P33" t="s">
        <v>65</v>
      </c>
      <c r="Q33">
        <v>1000</v>
      </c>
      <c r="X33">
        <v>0.012</v>
      </c>
      <c r="Y33">
        <v>24553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0.012</v>
      </c>
      <c r="AH33">
        <v>3</v>
      </c>
      <c r="AI33">
        <v>-1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ROW(Source!A39)</f>
        <v>39</v>
      </c>
      <c r="B34">
        <v>55670887</v>
      </c>
      <c r="C34">
        <v>55670882</v>
      </c>
      <c r="D34">
        <v>44800273</v>
      </c>
      <c r="E34">
        <v>54</v>
      </c>
      <c r="F34">
        <v>1</v>
      </c>
      <c r="G34">
        <v>1</v>
      </c>
      <c r="H34">
        <v>1</v>
      </c>
      <c r="I34" t="s">
        <v>276</v>
      </c>
      <c r="K34" t="s">
        <v>277</v>
      </c>
      <c r="L34">
        <v>1191</v>
      </c>
      <c r="N34">
        <v>1013</v>
      </c>
      <c r="O34" t="s">
        <v>229</v>
      </c>
      <c r="P34" t="s">
        <v>229</v>
      </c>
      <c r="Q34">
        <v>1</v>
      </c>
      <c r="X34">
        <v>6.43</v>
      </c>
      <c r="Y34">
        <v>0</v>
      </c>
      <c r="Z34">
        <v>0</v>
      </c>
      <c r="AA34">
        <v>0</v>
      </c>
      <c r="AB34">
        <v>9.07</v>
      </c>
      <c r="AC34">
        <v>0</v>
      </c>
      <c r="AD34">
        <v>1</v>
      </c>
      <c r="AE34">
        <v>1</v>
      </c>
      <c r="AF34" t="s">
        <v>32</v>
      </c>
      <c r="AG34">
        <v>7.394499999999999</v>
      </c>
      <c r="AH34">
        <v>3</v>
      </c>
      <c r="AI34">
        <v>-1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ROW(Source!A39)</f>
        <v>39</v>
      </c>
      <c r="B35">
        <v>55670888</v>
      </c>
      <c r="C35">
        <v>55670882</v>
      </c>
      <c r="D35">
        <v>44800452</v>
      </c>
      <c r="E35">
        <v>54</v>
      </c>
      <c r="F35">
        <v>1</v>
      </c>
      <c r="G35">
        <v>1</v>
      </c>
      <c r="H35">
        <v>1</v>
      </c>
      <c r="I35" t="s">
        <v>230</v>
      </c>
      <c r="K35" t="s">
        <v>231</v>
      </c>
      <c r="L35">
        <v>1191</v>
      </c>
      <c r="N35">
        <v>1013</v>
      </c>
      <c r="O35" t="s">
        <v>229</v>
      </c>
      <c r="P35" t="s">
        <v>229</v>
      </c>
      <c r="Q35">
        <v>1</v>
      </c>
      <c r="X35">
        <v>0.13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31</v>
      </c>
      <c r="AG35">
        <v>0.1625</v>
      </c>
      <c r="AH35">
        <v>3</v>
      </c>
      <c r="AI35">
        <v>-1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ROW(Source!A39)</f>
        <v>39</v>
      </c>
      <c r="B36">
        <v>55670889</v>
      </c>
      <c r="C36">
        <v>55670882</v>
      </c>
      <c r="D36">
        <v>44977280</v>
      </c>
      <c r="E36">
        <v>1</v>
      </c>
      <c r="F36">
        <v>1</v>
      </c>
      <c r="G36">
        <v>1</v>
      </c>
      <c r="H36">
        <v>2</v>
      </c>
      <c r="I36" t="s">
        <v>232</v>
      </c>
      <c r="J36" t="s">
        <v>233</v>
      </c>
      <c r="K36" t="s">
        <v>234</v>
      </c>
      <c r="L36">
        <v>1368</v>
      </c>
      <c r="N36">
        <v>1011</v>
      </c>
      <c r="O36" t="s">
        <v>235</v>
      </c>
      <c r="P36" t="s">
        <v>235</v>
      </c>
      <c r="Q36">
        <v>1</v>
      </c>
      <c r="X36">
        <v>0.13</v>
      </c>
      <c r="Y36">
        <v>0</v>
      </c>
      <c r="Z36">
        <v>65.71</v>
      </c>
      <c r="AA36">
        <v>11.6</v>
      </c>
      <c r="AB36">
        <v>0</v>
      </c>
      <c r="AC36">
        <v>0</v>
      </c>
      <c r="AD36">
        <v>1</v>
      </c>
      <c r="AE36">
        <v>0</v>
      </c>
      <c r="AF36" t="s">
        <v>31</v>
      </c>
      <c r="AG36">
        <v>0.1625</v>
      </c>
      <c r="AH36">
        <v>3</v>
      </c>
      <c r="AI36">
        <v>-1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ROW(Source!A39)</f>
        <v>39</v>
      </c>
      <c r="B37">
        <v>55670890</v>
      </c>
      <c r="C37">
        <v>55670882</v>
      </c>
      <c r="D37">
        <v>44812876</v>
      </c>
      <c r="E37">
        <v>1</v>
      </c>
      <c r="F37">
        <v>1</v>
      </c>
      <c r="G37">
        <v>1</v>
      </c>
      <c r="H37">
        <v>3</v>
      </c>
      <c r="I37" t="s">
        <v>278</v>
      </c>
      <c r="J37" t="s">
        <v>279</v>
      </c>
      <c r="K37" t="s">
        <v>280</v>
      </c>
      <c r="L37">
        <v>1308</v>
      </c>
      <c r="N37">
        <v>1003</v>
      </c>
      <c r="O37" t="s">
        <v>69</v>
      </c>
      <c r="P37" t="s">
        <v>69</v>
      </c>
      <c r="Q37">
        <v>100</v>
      </c>
      <c r="X37">
        <v>1.05</v>
      </c>
      <c r="Y37">
        <v>2500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1.05</v>
      </c>
      <c r="AH37">
        <v>3</v>
      </c>
      <c r="AI37">
        <v>-1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ROW(Source!A39)</f>
        <v>39</v>
      </c>
      <c r="B38">
        <v>55670891</v>
      </c>
      <c r="C38">
        <v>55670882</v>
      </c>
      <c r="D38">
        <v>44850610</v>
      </c>
      <c r="E38">
        <v>1</v>
      </c>
      <c r="F38">
        <v>1</v>
      </c>
      <c r="G38">
        <v>1</v>
      </c>
      <c r="H38">
        <v>3</v>
      </c>
      <c r="I38" t="s">
        <v>281</v>
      </c>
      <c r="J38" t="s">
        <v>282</v>
      </c>
      <c r="K38" t="s">
        <v>283</v>
      </c>
      <c r="L38">
        <v>1348</v>
      </c>
      <c r="N38">
        <v>1009</v>
      </c>
      <c r="O38" t="s">
        <v>65</v>
      </c>
      <c r="P38" t="s">
        <v>65</v>
      </c>
      <c r="Q38">
        <v>1000</v>
      </c>
      <c r="X38">
        <v>0.012</v>
      </c>
      <c r="Y38">
        <v>24553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0.012</v>
      </c>
      <c r="AH38">
        <v>3</v>
      </c>
      <c r="AI38">
        <v>-1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2023-09-25T09:27:15Z</cp:lastPrinted>
  <dcterms:created xsi:type="dcterms:W3CDTF">2023-09-25T09:22:22Z</dcterms:created>
  <dcterms:modified xsi:type="dcterms:W3CDTF">2023-10-12T08:14:22Z</dcterms:modified>
  <cp:category/>
  <cp:version/>
  <cp:contentType/>
  <cp:contentStatus/>
</cp:coreProperties>
</file>