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160" activeTab="0"/>
  </bookViews>
  <sheets>
    <sheet name="Смета для ТЕР МО 421пр (12" sheetId="1" r:id="rId1"/>
    <sheet name="Ведомость объемов работ" sheetId="2" r:id="rId2"/>
    <sheet name="Акт КС-2 8 граф" sheetId="3" r:id="rId3"/>
    <sheet name="Дефектная ведомость" sheetId="4" r:id="rId4"/>
    <sheet name="Source" sheetId="5" r:id="rId5"/>
    <sheet name="SourceObSm" sheetId="6" r:id="rId6"/>
    <sheet name="SmtRes" sheetId="7" r:id="rId7"/>
    <sheet name="EtalonRes" sheetId="8" r:id="rId8"/>
  </sheets>
  <definedNames>
    <definedName name="_xlnm.Print_Titles" localSheetId="2">'Акт КС-2 8 граф'!$35:$35</definedName>
    <definedName name="_xlnm.Print_Titles" localSheetId="1">'Ведомость объемов работ'!$17:$17</definedName>
    <definedName name="_xlnm.Print_Titles" localSheetId="3">'Дефектная ведомость'!$18:$18</definedName>
    <definedName name="_xlnm.Print_Titles" localSheetId="0">'Смета для ТЕР МО 421пр (12'!$46:$46</definedName>
    <definedName name="_xlnm.Print_Area" localSheetId="2">'Акт КС-2 8 граф'!$A$1:$H$248</definedName>
    <definedName name="_xlnm.Print_Area" localSheetId="1">'Ведомость объемов работ'!$A$1:$H$50</definedName>
    <definedName name="_xlnm.Print_Area" localSheetId="3">'Дефектная ведомость'!$A$1:$E$51</definedName>
    <definedName name="_xlnm.Print_Area" localSheetId="0">'Смета для ТЕР МО 421пр (12'!$A$1:$L$293</definedName>
  </definedNames>
  <calcPr fullCalcOnLoad="1"/>
</workbook>
</file>

<file path=xl/sharedStrings.xml><?xml version="1.0" encoding="utf-8"?>
<sst xmlns="http://schemas.openxmlformats.org/spreadsheetml/2006/main" count="8187" uniqueCount="667">
  <si>
    <t>Smeta.RU  (495) 974-1589</t>
  </si>
  <si>
    <t>_PS_</t>
  </si>
  <si>
    <t>Smeta.RU</t>
  </si>
  <si>
    <t/>
  </si>
  <si>
    <t>Выполнение работ по замене ограждающих конструкций стен тамбура главного входа ИПУ РАН</t>
  </si>
  <si>
    <t>Степанова А.М.</t>
  </si>
  <si>
    <t>Ведущий инжененр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</si>
  <si>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</si>
  <si>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</si>
  <si>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</si>
  <si>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</si>
  <si>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</si>
  <si>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</si>
  <si>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</si>
  <si>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И9 приказы НР № 812/пр, СП № 774/пр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</si>
  <si>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</si>
  <si>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</si>
  <si>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производственных зданий</t>
  </si>
  <si>
    <t>ГСН</t>
  </si>
  <si>
    <t>Горяников С.Л.</t>
  </si>
  <si>
    <t>И.О. Главного инженера</t>
  </si>
  <si>
    <t>Новый раздел</t>
  </si>
  <si>
    <t>Ремонтные работы</t>
  </si>
  <si>
    <t>1</t>
  </si>
  <si>
    <t>09-03-046-01</t>
  </si>
  <si>
    <t>Демонтаж перегородок: из алюминиевых сплавов сборно-разборных с остеклением (Применительно)</t>
  </si>
  <si>
    <t>100 м2</t>
  </si>
  <si>
    <t>ФЕР-2001, 09-03-046-01, приказ Минстроя России № 876/пр от 26.12.2019</t>
  </si>
  <si>
    <t>Поправка: МР 571/пр Табл.2, п.4  Наименование: При демонтаже (разборке) металлических конструкций</t>
  </si>
  <si>
    <t>)*0</t>
  </si>
  <si>
    <t>)*0,7</t>
  </si>
  <si>
    <t>Общестроительные работы</t>
  </si>
  <si>
    <t>Строительные металлические конструкции</t>
  </si>
  <si>
    <t>ФЕР-09</t>
  </si>
  <si>
    <t>Поправка: МР 571/пр Табл.2, п.4</t>
  </si>
  <si>
    <t>Пр/812-009.0-1</t>
  </si>
  <si>
    <t>Пр/774-009.0</t>
  </si>
  <si>
    <t>Письмо Минстроя России от 28.08.2023 № 52355-ИФ/09</t>
  </si>
  <si>
    <t>2</t>
  </si>
  <si>
    <t>09-03-002-12</t>
  </si>
  <si>
    <t>Демонтаж металлоконструкций(Применительно)</t>
  </si>
  <si>
    <t>т</t>
  </si>
  <si>
    <t>Демонтаж балок, ригелей перекрытия, покрытия и под установку оборудования многоэтажных зданий при высоте здания: до 25 м</t>
  </si>
  <si>
    <t>2,1</t>
  </si>
  <si>
    <t>01.3.02.08-0001</t>
  </si>
  <si>
    <t>Кислород газообразный технический</t>
  </si>
  <si>
    <t>м3</t>
  </si>
  <si>
    <t>ФССЦ-2001, 01.3.02.08-0001, приказ Минстроя России № 876/пр от 26.12.2019</t>
  </si>
  <si>
    <t>2,2</t>
  </si>
  <si>
    <t>01.3.02.09-0022</t>
  </si>
  <si>
    <t>Пропан-бутан смесь техническая</t>
  </si>
  <si>
    <t>кг</t>
  </si>
  <si>
    <t>ФССЦ-2001, 01.3.02.09-0022, приказ Минстроя России № 876/пр от 26.12.2019</t>
  </si>
  <si>
    <t>2,3</t>
  </si>
  <si>
    <t>01.7.11.07-0032</t>
  </si>
  <si>
    <t>Электроды сварочные Э42, диаметр 4 мм</t>
  </si>
  <si>
    <t>ФССЦ-2001, 01.7.11.07-0032, приказ Минстроя России № 876/пр от 26.12.2019</t>
  </si>
  <si>
    <t>2,4</t>
  </si>
  <si>
    <t>01.7.15.03-0042</t>
  </si>
  <si>
    <t>Болты с гайками и шайбами строительные</t>
  </si>
  <si>
    <t>ФССЦ-2001, 01.7.15.03-0042, приказ Минстроя России № 876/пр от 26.12.2019</t>
  </si>
  <si>
    <t>2,5</t>
  </si>
  <si>
    <t>01.7.15.06-0111</t>
  </si>
  <si>
    <t>Гвозди строительные</t>
  </si>
  <si>
    <t>ФССЦ-2001, 01.7.15.06-0111, приказ Минстроя России № 876/пр от 26.12.2019</t>
  </si>
  <si>
    <t>2,6</t>
  </si>
  <si>
    <t>01.7.20.08-0071</t>
  </si>
  <si>
    <t>Канат пеньковый пропитанный</t>
  </si>
  <si>
    <t>ФССЦ-2001, 01.7.20.08-0071, приказ Минстроя России № 876/пр от 26.12.2019</t>
  </si>
  <si>
    <t>2,7</t>
  </si>
  <si>
    <t>07.2.07.12-0020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</si>
  <si>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</si>
  <si>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ФССЦ-2001, 07.2.07.12-0020, приказ Минстроя России № 876/пр от 26.12.2019</t>
  </si>
  <si>
    <t>2,8</t>
  </si>
  <si>
    <t>08.2.02.11-0007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</si>
  <si>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</si>
  <si>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10 м</t>
  </si>
  <si>
    <t>ФССЦ-2001, 08.2.02.11-0007, приказ Минстроя России № 876/пр от 26.12.2019</t>
  </si>
  <si>
    <t>2,9</t>
  </si>
  <si>
    <t>08.3.03.06-0002</t>
  </si>
  <si>
    <t>Проволока горячекатаная в мотках, диаметр 6,3-6,5 мм</t>
  </si>
  <si>
    <t>ФССЦ-2001, 08.3.03.06-0002, приказ Минстроя России № 876/пр от 26.12.2019</t>
  </si>
  <si>
    <t>2,10</t>
  </si>
  <si>
    <t>08.3.11.01-0091</t>
  </si>
  <si>
    <t>Швеллеры № 40, марка стали Ст0</t>
  </si>
  <si>
    <t>ФССЦ-2001, 08.3.11.01-0091, приказ Минстроя России № 876/пр от 26.12.2019</t>
  </si>
  <si>
    <t>2,11</t>
  </si>
  <si>
    <t>11.1.03.01-0077</t>
  </si>
  <si>
    <t>Бруски обрезные, хвойных пород, длина 4-6,5 м, ширина 75-150 мм, толщина 40-75 мм, сорт I</t>
  </si>
  <si>
    <t>ФССЦ-2001, 11.1.03.01-0077, приказ Минстроя России № 876/пр от 26.12.2019</t>
  </si>
  <si>
    <t>2,12</t>
  </si>
  <si>
    <t>14.4.01.01-0003</t>
  </si>
  <si>
    <t>Грунтовка ГФ-021</t>
  </si>
  <si>
    <t>ФССЦ-2001, 14.4.01.01-0003, приказ Минстроя России № 876/пр от 26.12.2019</t>
  </si>
  <si>
    <t>2,13</t>
  </si>
  <si>
    <t>14.5.09.07-0030</t>
  </si>
  <si>
    <t>Растворитель Р-4</t>
  </si>
  <si>
    <t>ФССЦ-2001, 14.5.09.07-0030, приказ Минстроя России № 876/пр от 26.12.2019</t>
  </si>
  <si>
    <t>3</t>
  </si>
  <si>
    <t>06-03-004-01</t>
  </si>
  <si>
    <t>Срезка анкерных болтов (Применительно)</t>
  </si>
  <si>
    <t>ФЕР-2001 доп. 3, 06-03-004-01, приказ Минстроя России № 352/пр от 30.06.2020</t>
  </si>
  <si>
    <t>Бетонные и железобетонные монолитные конструкции и работы в строительстве</t>
  </si>
  <si>
    <t>ФЕР-06</t>
  </si>
  <si>
    <t>Пр/812-006.0-1</t>
  </si>
  <si>
    <t>Пр/774-006.0</t>
  </si>
  <si>
    <t>3,1</t>
  </si>
  <si>
    <t>07.2.07.02-0001</t>
  </si>
  <si>
    <t>Кондуктор инвентарный металлический</t>
  </si>
  <si>
    <t>ШТ</t>
  </si>
  <si>
    <t>ФССЦ-2001, 07.2.07.02-0001, приказ Минстроя России № 876/пр от 26.12.2019</t>
  </si>
  <si>
    <t>3,2</t>
  </si>
  <si>
    <t>08.4.01.01-0022</t>
  </si>
  <si>
    <t>Детали анкерные с резьбой из прямых или гнутых круглых стержней</t>
  </si>
  <si>
    <t>ФССЦ-2001, 08.4.01.01-0022, приказ Минстроя России № 876/пр от 26.12.2019</t>
  </si>
  <si>
    <t>4</t>
  </si>
  <si>
    <t>Монтаж подконструкции (Применительно)</t>
  </si>
  <si>
    <t>)*1,25</t>
  </si>
  <si>
    <t>)*1,15</t>
  </si>
  <si>
    <t>)*0,85</t>
  </si>
  <si>
    <t>Поправка: М-ка 421/пр 04.08.20 п.58 п.п. б)</t>
  </si>
  <si>
    <t>4,1</t>
  </si>
  <si>
    <t>07.2.07.12-0005</t>
  </si>
  <si>
    <t>Элементы конструктивные вспомогательного назначения с преобладанием профильного проката с отверстиями</t>
  </si>
  <si>
    <t>ФССЦ-2001, 07.2.07.12-0005, приказ Минстроя России № 876/пр от 26.12.2019</t>
  </si>
  <si>
    <t>5</t>
  </si>
  <si>
    <t>46-03-001-01</t>
  </si>
  <si>
    <t>Сверление в железобетонных конструкциях вертикальных отверстий глубиной 200 мм диаметром: 20 мм (Применительно)</t>
  </si>
  <si>
    <t>100 отверстий</t>
  </si>
  <si>
    <t>ФЕР-2001 доп.4, 46-03-001-01, приказ Минстроя России № 636/пр от 20.10.2020</t>
  </si>
  <si>
    <t>Работы по реконструкции зданий и сооружений</t>
  </si>
  <si>
    <t>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</si>
  <si>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ФЕР-46</t>
  </si>
  <si>
    <t>Пр/812-040.1-1</t>
  </si>
  <si>
    <t>Пр/774-040.1</t>
  </si>
  <si>
    <t>5,1</t>
  </si>
  <si>
    <t>01.7.17.09-0001</t>
  </si>
  <si>
    <t>Бур с ограничителем TE-C-HDA-B 22х155 для анкеров HDA</t>
  </si>
  <si>
    <t>ФССЦ-2001, 01.7.17.09-0001, приказ Минстроя России № 876/пр от 26.12.2019</t>
  </si>
  <si>
    <t>6</t>
  </si>
  <si>
    <t>Установка анкерных болтов: в готовые гнезда с заделкой длиной до 1 м</t>
  </si>
  <si>
    <t>7</t>
  </si>
  <si>
    <t>Монтаж перегородок: из алюминиевых сплавов сборно-разборных с остеклением</t>
  </si>
  <si>
    <t>7,1</t>
  </si>
  <si>
    <t>ТЦ_102_40_4007021423_08092023_01</t>
  </si>
  <si>
    <t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t>
  </si>
  <si>
    <t>м2</t>
  </si>
  <si>
    <t>занесена вручную</t>
  </si>
  <si>
    <t>7,2</t>
  </si>
  <si>
    <t>Монтажные комплектующие</t>
  </si>
  <si>
    <t>КОМПЛ</t>
  </si>
  <si>
    <t>8</t>
  </si>
  <si>
    <t>09-05-009-03</t>
  </si>
  <si>
    <t>Установка алюминиевых: нащельников</t>
  </si>
  <si>
    <t>100 м</t>
  </si>
  <si>
    <t>ФЕР-2001 доп.8, 09-05-009-03, приказ Минстроя России № 746/пр от 14.10.2021</t>
  </si>
  <si>
    <t>8,1</t>
  </si>
  <si>
    <t>Нащельники и детали примыканий</t>
  </si>
  <si>
    <t>м</t>
  </si>
  <si>
    <t>9</t>
  </si>
  <si>
    <t>м10-10-008-01</t>
  </si>
  <si>
    <t>Установка автоматических раздвижных дверей: одностворчатых, весом створки до 200 кг</t>
  </si>
  <si>
    <t>ФЕРм-2001 доп.6, м10-10-008-01, приказ Минстроя России № 320/пр от 24.05.2021</t>
  </si>
  <si>
    <t>Монтажные работы</t>
  </si>
  <si>
    <t>Оборудование связи: прокладка и монтаж сетей связи (если ОПТ=1 прокладка и монтаж междугородных линий связи)</t>
  </si>
  <si>
    <t>мФЕР-10</t>
  </si>
  <si>
    <t>Пр/812-051.1-1</t>
  </si>
  <si>
    <t>Пр/774-051.1</t>
  </si>
  <si>
    <t>Оборудование связи: прокладка и монтаж сетей связи</t>
  </si>
  <si>
    <t>9,1</t>
  </si>
  <si>
    <t>КОМП</t>
  </si>
  <si>
    <t>9,2</t>
  </si>
  <si>
    <t>10</t>
  </si>
  <si>
    <t>46-08-022-05</t>
  </si>
  <si>
    <t>Гидроизоляция набухающей самоклеящейся лентой: горизонтальных швов</t>
  </si>
  <si>
    <t>ФЕР-2001, 46-08-022-05, приказ Минстроя России № 876/пр от 26.12.2019</t>
  </si>
  <si>
    <t>10,1</t>
  </si>
  <si>
    <t>01.7.06.01-0012</t>
  </si>
  <si>
    <t>Лента герметизирующая самоклеящая Герлен-Д шириной: 100 мм толщиной 3 мм</t>
  </si>
  <si>
    <t>ФССЦ-2001, 01.7.06.01-0012, приказ Минстроя России № 876/пр от 26.12.2019</t>
  </si>
  <si>
    <t>11</t>
  </si>
  <si>
    <t>11-01-049-01</t>
  </si>
  <si>
    <t>Укладка металлического накладного профиля (порога)</t>
  </si>
  <si>
    <t>ФЕР-2001, 11-01-049-01, приказ Минстроя России № 876/пр от 26.12.2019</t>
  </si>
  <si>
    <t>Полы</t>
  </si>
  <si>
    <t>ФЕР-11</t>
  </si>
  <si>
    <t>Пр/812-011.0-1</t>
  </si>
  <si>
    <t>Пр/774-011.0</t>
  </si>
  <si>
    <t>11,1</t>
  </si>
  <si>
    <t>09.2.03.02-0022</t>
  </si>
  <si>
    <t>Профили стыкоперекрывающие из алюминиевых сплавов (порожки) с покрытием, шириной 60 мм</t>
  </si>
  <si>
    <t>ФССЦ-2001, 09.2.03.02-0022, приказ Минстроя России №1039/пр от 30.12.2016г.</t>
  </si>
  <si>
    <t>12</t>
  </si>
  <si>
    <t>10-01-039-02</t>
  </si>
  <si>
    <t>Установка блоков в наружных и внутренних дверных проемах: в каменных стенах, площадь проема более 3 м2</t>
  </si>
  <si>
    <t>ФЕР-2001, 10-01-039-02, приказ Минстроя России № 876/пр от 26.12.2019</t>
  </si>
  <si>
    <t>Деревянные конструкции</t>
  </si>
  <si>
    <t>ФЕР-10</t>
  </si>
  <si>
    <t>Пр/812-010.0-1</t>
  </si>
  <si>
    <t>Пр/774-010.0</t>
  </si>
  <si>
    <t>12,1</t>
  </si>
  <si>
    <t>13</t>
  </si>
  <si>
    <t>10-01-049-02</t>
  </si>
  <si>
    <t>Установка: дверного доводчика</t>
  </si>
  <si>
    <t>100 ШТ</t>
  </si>
  <si>
    <t>ФЕР-2001 доп.6, 10-01-049-02, приказ Минстроя России № 321/пр от 24.05.2021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</si>
  <si>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</si>
  <si>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</si>
  <si>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</si>
  <si>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</si>
  <si>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</si>
  <si>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</si>
  <si>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</si>
  <si>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</si>
  <si>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</si>
  <si>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</si>
  <si>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</si>
  <si>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</si>
  <si>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</si>
  <si>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</si>
  <si>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</si>
  <si>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</si>
  <si>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</si>
  <si>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</si>
  <si>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</si>
  <si>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</si>
  <si>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</si>
  <si>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</si>
  <si>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</si>
  <si>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</si>
  <si>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</si>
  <si>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</si>
  <si>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</si>
  <si>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</si>
  <si>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</si>
  <si>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</si>
  <si>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</si>
  <si>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</si>
  <si>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</si>
  <si>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</si>
  <si>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</si>
  <si>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</si>
  <si>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</si>
  <si>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</si>
  <si>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</si>
  <si>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</si>
  <si>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</si>
  <si>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</si>
  <si>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</si>
  <si>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</si>
  <si>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</si>
  <si>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</si>
  <si>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</si>
  <si>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</si>
  <si>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</si>
  <si>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</si>
  <si>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</si>
  <si>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</si>
  <si>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</si>
  <si>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</si>
  <si>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</si>
  <si>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</si>
  <si>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Разные работы</t>
  </si>
  <si>
    <t>14</t>
  </si>
  <si>
    <t>т01-01-01-041</t>
  </si>
  <si>
    <t>Погрузка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</si>
  <si>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</si>
  <si>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</si>
  <si>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</si>
  <si>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</si>
  <si>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15</t>
  </si>
  <si>
    <t>т03-01-01-050</t>
  </si>
  <si>
    <t>Перевозка грузов I класса автомобилями бортовыми грузоподъемностью до 15 т на расстояние до 50 км</t>
  </si>
  <si>
    <t>ФССЦпг-2001, т03-01-01-050, приказ Минстроя России №876/пр от 26.12.2019</t>
  </si>
  <si>
    <t>Автомобили бортовые</t>
  </si>
  <si>
    <t>Перевозка строительных грузов автомобильным транспортом</t>
  </si>
  <si>
    <t>ФССЦпр , изм. 7</t>
  </si>
  <si>
    <t>Всего материалов</t>
  </si>
  <si>
    <t>Итого</t>
  </si>
  <si>
    <t>НДС</t>
  </si>
  <si>
    <t>НДС 20%</t>
  </si>
  <si>
    <t>Всего по смете</t>
  </si>
  <si>
    <t>ВСЕГО ПО СМЕТЕ</t>
  </si>
  <si>
    <t>Итого1</t>
  </si>
  <si>
    <t>Итого2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</si>
  <si>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</si>
  <si>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</si>
  <si>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</si>
  <si>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</si>
  <si>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</si>
  <si>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</si>
  <si>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</si>
  <si>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</si>
  <si>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</si>
  <si>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</si>
  <si>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</si>
  <si>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</si>
  <si>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</si>
  <si>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</si>
  <si>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</si>
  <si>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</si>
  <si>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</si>
  <si>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</si>
  <si>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</si>
  <si>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</si>
  <si>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</si>
  <si>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</si>
  <si>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</si>
  <si>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</si>
  <si>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</si>
  <si>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</si>
  <si>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</si>
  <si>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</si>
  <si>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</si>
  <si>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</si>
  <si>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</si>
  <si>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</si>
  <si>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</si>
  <si>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</si>
  <si>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</si>
  <si>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</si>
  <si>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</si>
  <si>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</si>
  <si>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</si>
  <si>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</si>
  <si>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</si>
  <si>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</si>
  <si>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</si>
  <si>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</si>
  <si>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</si>
  <si>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</si>
  <si>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</si>
  <si>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</si>
  <si>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</si>
  <si>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</si>
  <si>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</si>
  <si>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</si>
  <si>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</si>
  <si>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</si>
  <si>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</si>
  <si>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</si>
  <si>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</si>
  <si>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</si>
  <si>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</si>
  <si>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</si>
  <si>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</si>
  <si>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</si>
  <si>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</si>
  <si>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</si>
  <si>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</si>
  <si>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</si>
  <si>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</si>
  <si>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</si>
  <si>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Новый уровень цен</t>
  </si>
  <si>
    <t>Индексы за итогом</t>
  </si>
  <si>
    <t>_OBSM_</t>
  </si>
  <si>
    <t>1-100-43</t>
  </si>
  <si>
    <t>Затраты труда рабочих (Средний разряд - 4,3)</t>
  </si>
  <si>
    <t>чел.-ч.</t>
  </si>
  <si>
    <t>4-100-00</t>
  </si>
  <si>
    <t>Затраты труда машинистов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</si>
  <si>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</si>
  <si>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</si>
  <si>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</si>
  <si>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маш.-ч.</t>
  </si>
  <si>
    <t>91.06.03-062</t>
  </si>
  <si>
    <t>ФСЭМ-2001, 91.06.03-062 , приказ Минстроя России № 876/пр от 26.12.2019</t>
  </si>
  <si>
    <t>Лебедки электрические тяговым усилием до 31,39 кН (3,2 т)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</si>
  <si>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</si>
  <si>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</si>
  <si>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</si>
  <si>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1-100-44</t>
  </si>
  <si>
    <t>Затраты труда рабочих (Средний разряд - 4,4)</t>
  </si>
  <si>
    <t>91.05.01-025</t>
  </si>
  <si>
    <t>ФСЭМ-2001, 91.05.01-025 , приказ Минстроя России № 876/пр от 26.12.2019</t>
  </si>
  <si>
    <t>Краны башенные, грузоподъемность 25-75 т</t>
  </si>
  <si>
    <t>91.05.02-005</t>
  </si>
  <si>
    <t>ФСЭМ-2001, 91.05.02-005 , приказ Минстроя России № 876/пр от 26.12.2019</t>
  </si>
  <si>
    <t>Краны козловые, грузоподъемность 32 т</t>
  </si>
  <si>
    <t>91.17.04-042</t>
  </si>
  <si>
    <t>ФСЭМ-2001, 91.17.04-042 , приказ Минстроя России № 876/пр от 26.12.2019</t>
  </si>
  <si>
    <t>Аппараты для газовой сварки и резки</t>
  </si>
  <si>
    <t>91.17.04-171</t>
  </si>
  <si>
    <t>ФСЭМ-2001, 91.17.04-171 , приказ Минстроя России № 876/пр от 26.12.2019</t>
  </si>
  <si>
    <t>Преобразователи сварочные номинальным сварочным током 315-500 А</t>
  </si>
  <si>
    <t>1-100-33</t>
  </si>
  <si>
    <t>Затраты труда рабочих (Средний разряд - 3,3)</t>
  </si>
  <si>
    <t>1-100-40</t>
  </si>
  <si>
    <t>Затраты труда рабочих (Средний разряд - 4)</t>
  </si>
  <si>
    <t>91.21.20-013</t>
  </si>
  <si>
    <t>ФСЭМ-2001 доп.4, 91.21.20-013, приказ Минстроя России № 636/пр от 20.10.2020</t>
  </si>
  <si>
    <t>Установки для сверления отверстий в железобетоне диаметром до 250 мм</t>
  </si>
  <si>
    <t>01.7.03.01-0001</t>
  </si>
  <si>
    <t>ФССЦ-2001, 01.7.03.01-0001, приказ Минстроя России № 876/пр от 26.12.2019</t>
  </si>
  <si>
    <t>Вода</t>
  </si>
  <si>
    <t>1-100-35</t>
  </si>
  <si>
    <t>Затраты труда рабочих (Средний разряд - 3,5)</t>
  </si>
  <si>
    <t>01.7.15.04-0055</t>
  </si>
  <si>
    <t>ФССЦ-2001, 01.7.15.04-0055, приказ Минстроя России № 876/пр от 26.12.2019</t>
  </si>
  <si>
    <t>Винты самонарезающие, оцинкованные, размер 5x45 мм</t>
  </si>
  <si>
    <t>1-100-34</t>
  </si>
  <si>
    <t>Затраты труда рабочих (Средний разряд - 3,4)</t>
  </si>
  <si>
    <t>91.05.13-025</t>
  </si>
  <si>
    <t>ФСЭМ-2001, 91.05.13-025 , приказ Минстроя России № 876/пр от 26.12.2019</t>
  </si>
  <si>
    <t>Краны-манипуляторы на автомобильном ходу, грузоподъемность до 3,2 т</t>
  </si>
  <si>
    <t>01.7.03.04-0001</t>
  </si>
  <si>
    <t>ФССЦ-2001, 01.7.03.04-0001, приказ Минстроя России № 876/пр от 26.12.2019</t>
  </si>
  <si>
    <t>Электроэнергия</t>
  </si>
  <si>
    <t>КВТ-Ч</t>
  </si>
  <si>
    <t>999-9950</t>
  </si>
  <si>
    <t>Вспомогательные ненормируемые материалы (2% от ОЗП)</t>
  </si>
  <si>
    <t>РУБ</t>
  </si>
  <si>
    <t>91.18.01-012</t>
  </si>
  <si>
    <t>ФСЭМ-2001, 91.18.01-012 , приказ Минстроя России № 876/пр от 26.12.2019</t>
  </si>
  <si>
    <t>Компрессоры передвижные с электродвигателем давление 600 кПа (6 ат), производительность до 3,5 м3/мин</t>
  </si>
  <si>
    <t>1-100-30</t>
  </si>
  <si>
    <t>Затраты труда рабочих (Средний разряд - 3)</t>
  </si>
  <si>
    <t>01.7.15.04-0048</t>
  </si>
  <si>
    <t>ФССЦ-2001, 01.7.15.04-0048, приказ Минстроя России № 876/пр от 26.12.2019</t>
  </si>
  <si>
    <t>Винты самонарезающие, остроконечные, длина 35 мм</t>
  </si>
  <si>
    <t>1-100-38</t>
  </si>
  <si>
    <t>Затраты труда рабочих (Средний разряд - 3,8)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</si>
  <si>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</si>
  <si>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</si>
  <si>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</si>
  <si>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04.3.01.07-0011</t>
  </si>
  <si>
    <t>ФССЦ-2001, 04.3.01.07-0011, приказ Минстроя России № 876/пр от 26.12.2019</t>
  </si>
  <si>
    <t>Раствор готовый отделочный тяжелый, известковый, состав 1:2</t>
  </si>
  <si>
    <t>08.1.02.25-0031</t>
  </si>
  <si>
    <t>ФССЦ-2001, 08.1.02.25-0031, приказ Минстроя России № 876/пр от 26.12.2019</t>
  </si>
  <si>
    <t>Ерш металлический строительный</t>
  </si>
  <si>
    <t>11.1.03.06-0087</t>
  </si>
  <si>
    <t>ФССЦ-2001, 11.1.03.06-0087, приказ Минстроя России № 876/пр от 26.12.2019</t>
  </si>
  <si>
    <t>Доска обрезная, хвойных пород, ширина 75-150 мм, толщина 25 мм, длина 4-6,5 м, сорт III</t>
  </si>
  <si>
    <t>14.5.01.10-0003</t>
  </si>
  <si>
    <t>ФССЦ-2001, 14.5.01.10-0003, приказ Минстроя России № 876/пр от 26.12.2019</t>
  </si>
  <si>
    <t>Пена монтажная</t>
  </si>
  <si>
    <t>л</t>
  </si>
  <si>
    <t>1-100-39</t>
  </si>
  <si>
    <t>Затраты труда рабочих (Средний разряд - 3,9)</t>
  </si>
  <si>
    <t>1-1010</t>
  </si>
  <si>
    <t>Рабочий строитель среднего разряда 1</t>
  </si>
  <si>
    <t>чел.-ч</t>
  </si>
  <si>
    <t>91.14.03-001</t>
  </si>
  <si>
    <t>ФСЭМ-2001, 91.14.03-001 , приказ Минстроя России № 876/пр от 26.12.2019</t>
  </si>
  <si>
    <t>Автомобили-самосвалы, грузоподъемность до 7 т</t>
  </si>
  <si>
    <t>01.7.19.07-0003</t>
  </si>
  <si>
    <t>ФССЦ-2001, 01.7.19.07-0003, приказ Минстроя России № 876/пр от 26.12.2019</t>
  </si>
  <si>
    <t>Резина прессованная</t>
  </si>
  <si>
    <t>01.8.02.02-0001</t>
  </si>
  <si>
    <t>ФССЦ-2001, 01.8.02.02-0001, приказ Минстроя России № 876/пр от 26.12.2019</t>
  </si>
  <si>
    <t>Стекло армированное листовое бесцветное гладкое, толщина 5,5 мм</t>
  </si>
  <si>
    <t>01.8.02.06-0111</t>
  </si>
  <si>
    <t>ФССЦ-2001, 01.8.02.06-0111, приказ Минстроя России № 876/пр от 26.12.2019</t>
  </si>
  <si>
    <t>Стекло листовое прокатное для витражей бесцветное, толщина 3,5 мм</t>
  </si>
  <si>
    <t>09.3.04.03</t>
  </si>
  <si>
    <t>Алюминиевые конструкции</t>
  </si>
  <si>
    <t>07.2.07.12</t>
  </si>
  <si>
    <t>Конструкции стальные</t>
  </si>
  <si>
    <t>01.7.17.09-0062</t>
  </si>
  <si>
    <t>ФССЦ-2001, 01.7.17.09-0062, приказ Минстроя России № 876/пр от 26.12.2019</t>
  </si>
  <si>
    <t>Сверло кольцевое алмазное, диаметр 20 мм</t>
  </si>
  <si>
    <t>09.4.03.11</t>
  </si>
  <si>
    <t>Нащельники и детали обрамления из алюминиевых сплавов</t>
  </si>
  <si>
    <t>01.7.06.02</t>
  </si>
  <si>
    <t>Лента гидроизоляционная</t>
  </si>
  <si>
    <t>09.2.03.02</t>
  </si>
  <si>
    <t>Профили стыкоперекрывающие из алюминиевых сплавов (порожки) с покрытием</t>
  </si>
  <si>
    <t>01.7.04.07</t>
  </si>
  <si>
    <t>Скобяные изделия</t>
  </si>
  <si>
    <t>11.2.02.01</t>
  </si>
  <si>
    <t>Блоки дверные</t>
  </si>
  <si>
    <t>01.7.04.01</t>
  </si>
  <si>
    <t>Доводчики дверные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</si>
  <si>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</si>
  <si>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</si>
  <si>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AL. Заполнение: стеклопакет 6зак+20+6зак. внешняя.                                          Направляющие нерж. сталь.Панель управления. Радар Eagle. Фотоэлементы. Электромагнитный замок.).</t>
  </si>
  <si>
    <t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A. Заполнение - триплекс 9 мм. Направляющие нерж. сталь.Панель управления. Радар Eagle. Фотоэлементы. Электромагнитный замок.)</t>
  </si>
  <si>
    <t>Дверной блок светопрозрачный, распашной одностворчатый (1320*2360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t>
  </si>
  <si>
    <t>"СОГЛАСОВАНО"</t>
  </si>
  <si>
    <t>"УТВЕРЖДАЮ"</t>
  </si>
  <si>
    <t>"_____"________________ 2023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</si>
  <si>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</si>
  <si>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</si>
  <si>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</si>
  <si>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</si>
  <si>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</si>
  <si>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</si>
  <si>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</si>
  <si>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</si>
  <si>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</si>
  <si>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</si>
  <si>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</si>
  <si>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</si>
  <si>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</si>
  <si>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</si>
  <si>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</si>
  <si>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</si>
  <si>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</si>
  <si>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</si>
  <si>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</si>
  <si>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</si>
  <si>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</si>
  <si>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</si>
  <si>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</si>
  <si>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</si>
  <si>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</si>
  <si>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</si>
  <si>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</si>
  <si>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</si>
  <si>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</si>
  <si>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</si>
  <si>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</si>
  <si>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</si>
  <si>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</si>
  <si>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</si>
  <si>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</si>
  <si>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</si>
  <si>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III квартал 2023 года (1.01.2000)</t>
  </si>
  <si>
    <t>Раздел: Ремонтные работы</t>
  </si>
  <si>
    <t>ФЕР 09-03-046-01</t>
  </si>
  <si>
    <r>
      <t>Демонтаж перегородок: из алюминиевых сплавов сборно-разборных с остеклением (Применительно)</t>
    </r>
    <r>
      <rPr>
        <i/>
        <sz val="10"/>
        <rFont val="Arial"/>
        <family val="2"/>
      </rPr>
      <t xml:space="preserve">
Поправки к: 
М )*0;   
ЭМ )*0,7;   
ОТм )*0,7;   
ОТ )*0,7;   
ЗТ )*0,7;   
ЗТм )*0,7</t>
    </r>
  </si>
  <si>
    <t>ОТ</t>
  </si>
  <si>
    <t>ЭМ</t>
  </si>
  <si>
    <t>в т.ч. ОТм</t>
  </si>
  <si>
    <t>ЗТ</t>
  </si>
  <si>
    <t>чел-ч</t>
  </si>
  <si>
    <t>ЗТм</t>
  </si>
  <si>
    <t>Итого по расценке</t>
  </si>
  <si>
    <t>ФОТ</t>
  </si>
  <si>
    <t>НР Строительные металлические конструкции</t>
  </si>
  <si>
    <t>%</t>
  </si>
  <si>
    <t>СП Строительные металлические конструкции</t>
  </si>
  <si>
    <t>Всего по позиции</t>
  </si>
  <si>
    <r>
      <t>Демонтаж металлоконструкций(Применительно)</t>
    </r>
    <r>
      <rPr>
        <i/>
        <sz val="10"/>
        <rFont val="Arial"/>
        <family val="2"/>
      </rPr>
      <t xml:space="preserve">
Поправки к: 
М )*0;   
ЭМ )*0,7;   
ОТм )*0,7;   
ОТ )*0,7;   
ЗТ )*0,7;   
ЗТм )*0,7</t>
    </r>
  </si>
  <si>
    <t>ФЕР 06-03-004-01</t>
  </si>
  <si>
    <r>
      <t>Срезка анкерных болтов (Применительно)</t>
    </r>
    <r>
      <rPr>
        <i/>
        <sz val="10"/>
        <rFont val="Arial"/>
        <family val="2"/>
      </rPr>
      <t xml:space="preserve">
Поправки к: 
М )*0;   
ЭМ )*0,7;   
ОТм )*0,7;   
ОТ )*0,7;   
ЗТ )*0,7;   
ЗТм )*0,7</t>
    </r>
  </si>
  <si>
    <t>НР Бетонные и железобетонные монолитные конструкции и работы в строительстве</t>
  </si>
  <si>
    <t>СП Бетонные и железобетонные монолитные конструкции и работы в строительстве</t>
  </si>
  <si>
    <r>
      <t>Монтаж подконструкции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</si>
  <si>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М</t>
  </si>
  <si>
    <t>ФССЦ 07.2.07.12-0005</t>
  </si>
  <si>
    <t>Пр/774-009.0;
п.16</t>
  </si>
  <si>
    <t>ФЕР 46-03-001-01</t>
  </si>
  <si>
    <t>ФССЦ 01.7.17.09-0001</t>
  </si>
  <si>
    <t>НР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</si>
  <si>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СП Работы по реконструкции зданий и сооружений: усиление и замена существующих конструкций, возведение отдельных конструктивных элементов</t>
  </si>
  <si>
    <r>
      <t>Установка анкерных болтов: в готовые гнезда с заделкой длиной до 1 м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</si>
  <si>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Пр/774-006.0;
п.16</t>
  </si>
  <si>
    <r>
      <t>Монтаж перегородок: из алюминиевых сплавов сборно-разборных с остеклением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</si>
  <si>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ФЕР 09-05-009-03</t>
  </si>
  <si>
    <r>
      <t>Установка алюминиевых: нащельников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</si>
  <si>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ФЕРм 10-10-008-01</t>
  </si>
  <si>
    <t>НР Оборудование связи: прокладка и монтаж сетей связи</t>
  </si>
  <si>
    <t>СП Оборудование связи: прокладка и монтаж сетей связи</t>
  </si>
  <si>
    <t>ФЕР 46-08-022-05</t>
  </si>
  <si>
    <t>ФССЦ 01.7.06.01-0012</t>
  </si>
  <si>
    <t>ФЕР 11-01-049-01</t>
  </si>
  <si>
    <r>
      <t>Укладка металлического накладного профиля (порога)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</si>
  <si>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ФССЦ 09.2.03.02-0022</t>
  </si>
  <si>
    <t>НР Полы</t>
  </si>
  <si>
    <t>Пр/774-011.0;
п.16</t>
  </si>
  <si>
    <t>СП Полы</t>
  </si>
  <si>
    <t>ФЕР 10-01-039-02</t>
  </si>
  <si>
    <r>
      <t>Установка блоков в наружных и внутренних дверных проемах: в каменных стенах, площадь проема более 3 м2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</si>
  <si>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НР Деревянные конструкции</t>
  </si>
  <si>
    <t>Пр/774-010.0;
п.16</t>
  </si>
  <si>
    <t>СП Деревянные конструкции</t>
  </si>
  <si>
    <t>ФЕР 10-01-049-02</t>
  </si>
  <si>
    <r>
      <t>Установка: дверного доводчика</t>
    </r>
    <r>
      <rPr>
        <i/>
        <sz val="10"/>
        <rFont val="Arial"/>
        <family val="2"/>
      </rPr>
      <t xml:space="preserve">
Поправки к: 
ЭМ )*1,25;   
ОТм )*1,25;   
ОТ )*1,15;   
ЗТ )*1,15;   
ЗТм )*1,25;   
СП )*0,85</t>
    </r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</si>
  <si>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</si>
  <si>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</si>
  <si>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</si>
  <si>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</si>
  <si>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</si>
  <si>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</si>
  <si>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</si>
  <si>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</si>
  <si>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</si>
  <si>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</si>
  <si>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</si>
  <si>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</si>
  <si>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</si>
  <si>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</si>
  <si>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</si>
  <si>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Разные работы</t>
  </si>
  <si>
    <t>ФССЦ 01-01-01-041</t>
  </si>
  <si>
    <t>ФССЦ 03-01-01-050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</si>
  <si>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</si>
  <si>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</si>
  <si>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</si>
  <si>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</si>
  <si>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</si>
  <si>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</si>
  <si>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</si>
  <si>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</si>
  <si>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</si>
  <si>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</si>
  <si>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</si>
  <si>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</si>
  <si>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</si>
  <si>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</si>
  <si>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</si>
  <si>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</si>
  <si>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</si>
  <si>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</si>
  <si>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</si>
  <si>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</si>
  <si>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</si>
  <si>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</si>
  <si>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</si>
  <si>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</si>
  <si>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</si>
  <si>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</si>
  <si>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</si>
  <si>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</si>
  <si>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</si>
  <si>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</si>
  <si>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</si>
  <si>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</si>
  <si>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</si>
  <si>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</si>
  <si>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</si>
  <si>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</si>
  <si>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</si>
  <si>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</si>
  <si>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</si>
  <si>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</si>
  <si>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</si>
  <si>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</si>
  <si>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</si>
  <si>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</si>
  <si>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</si>
  <si>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</si>
  <si>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</si>
  <si>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</si>
  <si>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Наименование работ</t>
  </si>
  <si>
    <t>Номер единичной расценки</t>
  </si>
  <si>
    <t>Выполнено работ</t>
  </si>
  <si>
    <t>по порядку</t>
  </si>
  <si>
    <t>поз. по смете</t>
  </si>
  <si>
    <t>цена за единицу, руб</t>
  </si>
  <si>
    <t>стоимость, руб</t>
  </si>
  <si>
    <t>Коэфф. пересчёта: пункт</t>
  </si>
  <si>
    <t>Коэфф. к ОЗП</t>
  </si>
  <si>
    <t>Коэфф. к эксплуатации машин</t>
  </si>
  <si>
    <t>Коэфф. к материалам</t>
  </si>
  <si>
    <t>Коэфф. к ЗПМ</t>
  </si>
  <si>
    <t xml:space="preserve">Стоимость материалов </t>
  </si>
  <si>
    <t xml:space="preserve">Эксплуатация машин </t>
  </si>
  <si>
    <t xml:space="preserve">Оплата труда машинистов </t>
  </si>
  <si>
    <t xml:space="preserve">Оплата труда рабочих </t>
  </si>
  <si>
    <t xml:space="preserve">Затраты труда рабочих </t>
  </si>
  <si>
    <t xml:space="preserve">Затраты труда машинистов </t>
  </si>
  <si>
    <t xml:space="preserve">Сметная прибыль </t>
  </si>
  <si>
    <t>Коэфф. к сметной цене</t>
  </si>
  <si>
    <t xml:space="preserve">Сдал </t>
  </si>
  <si>
    <t>должность</t>
  </si>
  <si>
    <t>подпись</t>
  </si>
  <si>
    <t>расшифровка подпись</t>
  </si>
  <si>
    <t>М.П.</t>
  </si>
  <si>
    <t xml:space="preserve">Принял 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</si>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</sst>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1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left" wrapText="1"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5" fillId="0" borderId="15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top" shrinkToFi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165" fontId="17" fillId="0" borderId="16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4" xfId="0" applyFont="1" applyBorder="1" applyAlignment="1" quotePrefix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1" xfId="0" applyFont="1" applyBorder="1" applyAlignment="1">
      <alignment horizontal="right"/>
    </xf>
    <xf numFmtId="14" fontId="15" fillId="0" borderId="14" xfId="0" applyNumberFormat="1" applyFont="1" applyBorder="1" applyAlignment="1">
      <alignment horizontal="center"/>
    </xf>
    <xf numFmtId="14" fontId="15" fillId="0" borderId="19" xfId="0" applyNumberFormat="1" applyFont="1" applyBorder="1" applyAlignment="1">
      <alignment horizontal="center"/>
    </xf>
    <xf numFmtId="0" fontId="0" fillId="0" borderId="0" xfId="0" applyFont="1" applyAlignment="1" quotePrefix="1">
      <alignment vertical="top" wrapText="1"/>
    </xf>
    <xf numFmtId="165" fontId="17" fillId="0" borderId="10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center" shrinkToFit="1"/>
    </xf>
    <xf numFmtId="0" fontId="15" fillId="0" borderId="15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center" vertical="top" shrinkToFi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92"/>
  <sheetViews>
    <sheetView tabSelected="1" zoomScalePageLayoutView="0" workbookViewId="0" topLeftCell="A245">
      <selection activeCell="E287" sqref="E287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1" width="0" style="0" hidden="1" customWidth="1"/>
    <col min="92" max="92" width="171.7109375" style="0" hidden="1" customWidth="1"/>
    <col min="93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3" spans="1:12" ht="16.5">
      <c r="A3" s="13"/>
      <c r="B3" s="119" t="s">
        <v>479</v>
      </c>
      <c r="C3" s="119"/>
      <c r="D3" s="119"/>
      <c r="E3" s="119"/>
      <c r="F3" s="14"/>
      <c r="G3" s="14"/>
      <c r="H3" s="119" t="s">
        <v>480</v>
      </c>
      <c r="I3" s="119"/>
      <c r="J3" s="119"/>
      <c r="K3" s="119"/>
      <c r="L3" s="119"/>
    </row>
    <row r="4" spans="1:12" ht="14.25">
      <c r="A4" s="14"/>
      <c r="B4" s="120"/>
      <c r="C4" s="120"/>
      <c r="D4" s="120"/>
      <c r="E4" s="120"/>
      <c r="F4" s="14"/>
      <c r="G4" s="14"/>
      <c r="H4" s="120" t="s">
        <v>482</v>
      </c>
      <c r="I4" s="120"/>
      <c r="J4" s="120"/>
      <c r="K4" s="120"/>
      <c r="L4" s="120"/>
    </row>
    <row r="5" spans="1:12" ht="14.25">
      <c r="A5" s="15"/>
      <c r="B5" s="15"/>
      <c r="C5" s="16"/>
      <c r="D5" s="16"/>
      <c r="E5" s="16"/>
      <c r="F5" s="14"/>
      <c r="G5" s="14"/>
      <c r="H5" s="17"/>
      <c r="I5" s="16"/>
      <c r="J5" s="16"/>
      <c r="K5" s="16"/>
      <c r="L5" s="17"/>
    </row>
    <row r="6" spans="1:12" ht="14.25">
      <c r="A6" s="17"/>
      <c r="B6" s="120" t="str">
        <f>CONCATENATE("______________________ ",IF(Source!AL12&lt;&gt;"",Source!AL12,""))</f>
        <v>______________________ </v>
      </c>
      <c r="C6" s="120"/>
      <c r="D6" s="120"/>
      <c r="E6" s="120"/>
      <c r="F6" s="14"/>
      <c r="G6" s="14"/>
      <c r="H6" s="120" t="str">
        <f>CONCATENATE("______________________ ",IF(Source!AH12&lt;&gt;"",Source!AH12,""))</f>
        <v>______________________ Муравьев К.В.</v>
      </c>
      <c r="I6" s="120"/>
      <c r="J6" s="120"/>
      <c r="K6" s="120"/>
      <c r="L6" s="120"/>
    </row>
    <row r="7" spans="1:12" ht="14.25">
      <c r="A7" s="18"/>
      <c r="B7" s="115" t="s">
        <v>481</v>
      </c>
      <c r="C7" s="115"/>
      <c r="D7" s="115"/>
      <c r="E7" s="115"/>
      <c r="F7" s="14"/>
      <c r="G7" s="14"/>
      <c r="H7" s="115" t="s">
        <v>481</v>
      </c>
      <c r="I7" s="115"/>
      <c r="J7" s="115"/>
      <c r="K7" s="115"/>
      <c r="L7" s="115"/>
    </row>
    <row r="10" spans="1:94" ht="38.25">
      <c r="A10" s="116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CP10" s="77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1" spans="1:11" ht="12.75">
      <c r="A11" s="11"/>
      <c r="B11" s="11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16" t="s">
        <v>516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5" spans="1:12" ht="15.75">
      <c r="A15" s="18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8"/>
    </row>
    <row r="16" spans="1:12" ht="14.25">
      <c r="A16" s="20"/>
      <c r="B16" s="118" t="s">
        <v>483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8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92" ht="15.75">
      <c r="A18" s="14"/>
      <c r="B18" s="117" t="str">
        <f>IF(Source!G12&lt;&gt;"Новый объект",Source!G12,"")</f>
        <v>Выполнение работ по замене ограждающих конструкций стен тамбура главного входа ИПУ РАН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4"/>
      <c r="CN18" s="78" t="str">
        <f>IF(Source!G12&lt;&gt;"Новый объект",Source!G12,"")</f>
        <v>Выполнение работ по замене ограждающих конструкций стен тамбура главного входа ИПУ РАН</v>
      </c>
    </row>
    <row r="19" spans="1:12" ht="14.25">
      <c r="A19" s="14"/>
      <c r="B19" s="118" t="s">
        <v>484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4"/>
    </row>
    <row r="20" spans="1:12" ht="14.25">
      <c r="A20" s="14"/>
      <c r="B20" s="14"/>
      <c r="C20" s="14"/>
      <c r="D20" s="14"/>
      <c r="E20" s="14"/>
      <c r="F20" s="21"/>
      <c r="G20" s="21"/>
      <c r="H20" s="21" t="s">
        <v>3</v>
      </c>
      <c r="I20" s="21"/>
      <c r="J20" s="21"/>
      <c r="K20" s="21"/>
      <c r="L20" s="21"/>
    </row>
    <row r="21" spans="1:12" ht="15.75">
      <c r="A21" s="22"/>
      <c r="B21" s="125" t="str">
        <f>CONCATENATE("ЛОКАЛЬНАЯ СМЕТА № ",Source!F20," ",Source!CM20)</f>
        <v>ЛОКАЛЬНАЯ СМЕТА №  </v>
      </c>
      <c r="C21" s="125"/>
      <c r="D21" s="125"/>
      <c r="E21" s="125"/>
      <c r="F21" s="125"/>
      <c r="G21" s="125"/>
      <c r="H21" s="125"/>
      <c r="I21" s="125"/>
      <c r="J21" s="125"/>
      <c r="K21" s="125"/>
      <c r="L21" s="22"/>
    </row>
    <row r="22" spans="1:12" ht="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</row>
    <row r="23" spans="1:12" ht="18">
      <c r="A23" s="14"/>
      <c r="B23" s="126">
        <f>IF(Source!G20&lt;&gt;"Новая локальная смета",Source!G20,"")</f>
      </c>
      <c r="C23" s="126"/>
      <c r="D23" s="126"/>
      <c r="E23" s="126"/>
      <c r="F23" s="126"/>
      <c r="G23" s="126"/>
      <c r="H23" s="126"/>
      <c r="I23" s="126"/>
      <c r="J23" s="126"/>
      <c r="K23" s="126"/>
      <c r="L23" s="24"/>
    </row>
    <row r="24" spans="1:12" ht="14.25">
      <c r="A24" s="14"/>
      <c r="B24" s="118" t="s">
        <v>485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8"/>
    </row>
    <row r="25" spans="1:1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1" t="s">
        <v>486</v>
      </c>
      <c r="B27" s="11"/>
      <c r="C27" s="25" t="s">
        <v>517</v>
      </c>
      <c r="D27" s="11" t="s">
        <v>487</v>
      </c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 t="s">
        <v>488</v>
      </c>
      <c r="B29" s="11"/>
      <c r="C29" s="127"/>
      <c r="D29" s="127"/>
      <c r="E29" s="127"/>
      <c r="F29" s="127"/>
      <c r="G29" s="127"/>
      <c r="H29" s="11"/>
      <c r="I29" s="11"/>
      <c r="J29" s="11"/>
      <c r="K29" s="11"/>
      <c r="L29" s="26"/>
    </row>
    <row r="30" spans="1:12" ht="12.75">
      <c r="A30" s="27"/>
      <c r="B30" s="28"/>
      <c r="C30" s="121" t="s">
        <v>489</v>
      </c>
      <c r="D30" s="121"/>
      <c r="E30" s="121"/>
      <c r="F30" s="121"/>
      <c r="G30" s="121"/>
      <c r="H30" s="29"/>
      <c r="I30" s="29"/>
      <c r="J30" s="29"/>
      <c r="K30" s="29"/>
      <c r="L30" s="29"/>
    </row>
    <row r="31" spans="1:1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30" t="s">
        <v>518</v>
      </c>
      <c r="B32" s="14"/>
      <c r="C32" s="14"/>
      <c r="D32" s="31"/>
      <c r="E32" s="32"/>
      <c r="F32" s="14"/>
      <c r="G32" s="14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>
      <c r="A34" s="30" t="s">
        <v>490</v>
      </c>
      <c r="B34" s="14"/>
      <c r="C34" s="51">
        <f>C37+C38+C39+C40</f>
        <v>2964.1000000000004</v>
      </c>
      <c r="D34" s="122">
        <f>D37+D38+D39+D40</f>
        <v>2622.58</v>
      </c>
      <c r="E34" s="123"/>
      <c r="F34" s="33" t="s">
        <v>491</v>
      </c>
      <c r="G34" s="34"/>
      <c r="H34" s="34"/>
      <c r="I34" s="34"/>
      <c r="J34" s="34"/>
      <c r="K34" s="14"/>
      <c r="L34" s="14"/>
    </row>
    <row r="35" spans="1:12" ht="14.25">
      <c r="A35" s="14"/>
      <c r="B35" s="14"/>
      <c r="C35" s="44"/>
      <c r="D35" s="52"/>
      <c r="E35" s="34"/>
      <c r="F35" s="33"/>
      <c r="G35" s="33" t="s">
        <v>492</v>
      </c>
      <c r="H35" s="34"/>
      <c r="I35" s="34"/>
      <c r="J35" s="34"/>
      <c r="K35" s="14"/>
      <c r="L35" s="14"/>
    </row>
    <row r="36" spans="1:12" ht="14.25">
      <c r="A36" s="14"/>
      <c r="B36" s="35" t="s">
        <v>493</v>
      </c>
      <c r="C36" s="44"/>
      <c r="D36" s="52"/>
      <c r="E36" s="36"/>
      <c r="F36" s="33"/>
      <c r="G36" s="33" t="s">
        <v>494</v>
      </c>
      <c r="H36" s="34" t="s">
        <v>495</v>
      </c>
      <c r="I36" s="37">
        <f>ROUND(SUM(U47:U285)/1000,2)</f>
        <v>122.08</v>
      </c>
      <c r="J36" s="37">
        <f>ROUND((SUM(Q47:Q285))/1000,2)</f>
        <v>3.27</v>
      </c>
      <c r="K36" s="11" t="s">
        <v>491</v>
      </c>
      <c r="L36" s="14"/>
    </row>
    <row r="37" spans="1:12" ht="14.25">
      <c r="A37" s="14"/>
      <c r="B37" s="30" t="s">
        <v>496</v>
      </c>
      <c r="C37" s="51">
        <f>ROUND((Source!P193)/1000,2)</f>
        <v>1778.14</v>
      </c>
      <c r="D37" s="122">
        <f>ROUND((SUM(AN47:AN285)+SUM(AR47:AR285))/1000,2)</f>
        <v>1454.58</v>
      </c>
      <c r="E37" s="123"/>
      <c r="F37" s="33" t="s">
        <v>491</v>
      </c>
      <c r="G37" s="33" t="s">
        <v>497</v>
      </c>
      <c r="H37" s="34"/>
      <c r="I37" s="33"/>
      <c r="J37" s="53">
        <f>Source!P198</f>
        <v>331.60513999999995</v>
      </c>
      <c r="K37" s="11" t="s">
        <v>358</v>
      </c>
      <c r="L37" s="14"/>
    </row>
    <row r="38" spans="1:12" ht="14.25">
      <c r="A38" s="14"/>
      <c r="B38" s="30" t="s">
        <v>498</v>
      </c>
      <c r="C38" s="51">
        <f>ROUND((Source!P194)/1000,2)</f>
        <v>1185.96</v>
      </c>
      <c r="D38" s="122">
        <f>ROUND((SUM(AX47:AX285)+SUM(BB47:BB285))/1000,2)</f>
        <v>1168</v>
      </c>
      <c r="E38" s="123"/>
      <c r="F38" s="33" t="s">
        <v>491</v>
      </c>
      <c r="G38" s="33" t="s">
        <v>499</v>
      </c>
      <c r="H38" s="34"/>
      <c r="I38" s="33"/>
      <c r="J38" s="53">
        <f>Source!P199</f>
        <v>8.718285</v>
      </c>
      <c r="K38" s="11" t="s">
        <v>358</v>
      </c>
      <c r="L38" s="14"/>
    </row>
    <row r="39" spans="1:12" ht="14.25">
      <c r="A39" s="14"/>
      <c r="B39" s="30" t="s">
        <v>500</v>
      </c>
      <c r="C39" s="51">
        <f>ROUND((Source!P185)/1000,2)</f>
        <v>0</v>
      </c>
      <c r="D39" s="122">
        <f>ROUND((SUM(BH47:BH285)+SUM(BI47:BI285))/1000,2)</f>
        <v>0</v>
      </c>
      <c r="E39" s="123"/>
      <c r="F39" s="33" t="s">
        <v>491</v>
      </c>
      <c r="G39" s="33" t="s">
        <v>501</v>
      </c>
      <c r="H39" s="34"/>
      <c r="I39" s="33"/>
      <c r="J39" s="38"/>
      <c r="K39" s="14"/>
      <c r="L39" s="14"/>
    </row>
    <row r="40" spans="1:12" ht="14.25">
      <c r="A40" s="14"/>
      <c r="B40" s="30" t="s">
        <v>502</v>
      </c>
      <c r="C40" s="51">
        <f>ROUND((Source!P195+Source!P196)/1000,2)</f>
        <v>0</v>
      </c>
      <c r="D40" s="122">
        <f>ROUND((SUM(BM47:BM285)+SUM(BN47:BN285)+SUM(BO47:BO285)+SUM(BP47:BP285))/1000,2)</f>
        <v>0</v>
      </c>
      <c r="E40" s="124"/>
      <c r="F40" s="33" t="s">
        <v>491</v>
      </c>
      <c r="G40" s="33" t="s">
        <v>503</v>
      </c>
      <c r="H40" s="34"/>
      <c r="I40" s="33">
        <f>Source!I20</f>
        <v>0</v>
      </c>
      <c r="J40" s="39">
        <f>Source!H20</f>
      </c>
      <c r="K40" s="14"/>
      <c r="L40" s="14"/>
    </row>
    <row r="41" spans="1:12" ht="14.25">
      <c r="A41" s="14"/>
      <c r="B41" s="14"/>
      <c r="C41" s="14"/>
      <c r="D41" s="34"/>
      <c r="E41" s="34"/>
      <c r="F41" s="34"/>
      <c r="G41" s="34"/>
      <c r="H41" s="34"/>
      <c r="I41" s="34"/>
      <c r="J41" s="34"/>
      <c r="K41" s="14"/>
      <c r="L41" s="14"/>
    </row>
    <row r="42" spans="1:12" ht="12.75">
      <c r="A42" s="130" t="s">
        <v>504</v>
      </c>
      <c r="B42" s="130" t="s">
        <v>505</v>
      </c>
      <c r="C42" s="130" t="s">
        <v>506</v>
      </c>
      <c r="D42" s="130" t="s">
        <v>507</v>
      </c>
      <c r="E42" s="135" t="s">
        <v>508</v>
      </c>
      <c r="F42" s="136"/>
      <c r="G42" s="137"/>
      <c r="H42" s="135" t="s">
        <v>509</v>
      </c>
      <c r="I42" s="136"/>
      <c r="J42" s="137"/>
      <c r="K42" s="130" t="s">
        <v>510</v>
      </c>
      <c r="L42" s="130" t="s">
        <v>511</v>
      </c>
    </row>
    <row r="43" spans="1:12" ht="12.75">
      <c r="A43" s="131"/>
      <c r="B43" s="131"/>
      <c r="C43" s="131"/>
      <c r="D43" s="131"/>
      <c r="E43" s="138"/>
      <c r="F43" s="139"/>
      <c r="G43" s="140"/>
      <c r="H43" s="138"/>
      <c r="I43" s="139"/>
      <c r="J43" s="140"/>
      <c r="K43" s="131"/>
      <c r="L43" s="131"/>
    </row>
    <row r="44" spans="1:12" ht="12.75">
      <c r="A44" s="131"/>
      <c r="B44" s="131"/>
      <c r="C44" s="131"/>
      <c r="D44" s="131"/>
      <c r="E44" s="141"/>
      <c r="F44" s="142"/>
      <c r="G44" s="143"/>
      <c r="H44" s="141"/>
      <c r="I44" s="142"/>
      <c r="J44" s="143"/>
      <c r="K44" s="131"/>
      <c r="L44" s="131"/>
    </row>
    <row r="45" spans="1:12" ht="25.5">
      <c r="A45" s="132"/>
      <c r="B45" s="132"/>
      <c r="C45" s="132"/>
      <c r="D45" s="132"/>
      <c r="E45" s="40" t="s">
        <v>512</v>
      </c>
      <c r="F45" s="40" t="s">
        <v>513</v>
      </c>
      <c r="G45" s="40" t="s">
        <v>514</v>
      </c>
      <c r="H45" s="40" t="s">
        <v>512</v>
      </c>
      <c r="I45" s="40" t="s">
        <v>513</v>
      </c>
      <c r="J45" s="40" t="s">
        <v>515</v>
      </c>
      <c r="K45" s="132"/>
      <c r="L45" s="132"/>
    </row>
    <row r="46" spans="1:12" ht="14.25">
      <c r="A46" s="41">
        <v>1</v>
      </c>
      <c r="B46" s="41">
        <v>2</v>
      </c>
      <c r="C46" s="41">
        <v>3</v>
      </c>
      <c r="D46" s="41">
        <v>4</v>
      </c>
      <c r="E46" s="41">
        <v>5</v>
      </c>
      <c r="F46" s="41">
        <v>6</v>
      </c>
      <c r="G46" s="41">
        <v>7</v>
      </c>
      <c r="H46" s="41">
        <v>8</v>
      </c>
      <c r="I46" s="41">
        <v>9</v>
      </c>
      <c r="J46" s="41">
        <v>10</v>
      </c>
      <c r="K46" s="42">
        <v>11</v>
      </c>
      <c r="L46" s="43">
        <v>12</v>
      </c>
    </row>
    <row r="48" spans="1:12" ht="16.5">
      <c r="A48" s="145" t="s">
        <v>519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56" ht="146.25">
      <c r="A49" s="74">
        <v>1</v>
      </c>
      <c r="B49" s="74" t="s">
        <v>520</v>
      </c>
      <c r="C49" s="74" t="s">
        <v>521</v>
      </c>
      <c r="D49" s="56" t="str">
        <f>Source!DW29</f>
        <v>100 м2</v>
      </c>
      <c r="E49" s="57">
        <f>Source!K29</f>
        <v>0.54</v>
      </c>
      <c r="F49" s="57"/>
      <c r="G49" s="57">
        <f>Source!I29</f>
        <v>0.54</v>
      </c>
      <c r="H49" s="49"/>
      <c r="I49" s="58"/>
      <c r="J49" s="49"/>
      <c r="K49" s="58"/>
      <c r="L49" s="49"/>
      <c r="AG49">
        <f>ROUND((Source!AT29/100)*((ROUND(Source!AF29*Source!I29,2)+ROUND(Source!AE29*Source!I29,2))),2)</f>
        <v>1065.46</v>
      </c>
      <c r="AH49">
        <f>Source!X29</f>
        <v>39784.37</v>
      </c>
      <c r="AI49">
        <f>ROUND((Source!AU29/100)*((ROUND(Source!AF29*Source!I29,2)+ROUND(Source!AE29*Source!I29,2))),2)</f>
        <v>710.31</v>
      </c>
      <c r="AJ49">
        <f>Source!Y29</f>
        <v>26522.91</v>
      </c>
      <c r="AS49">
        <f>IF(Source!BI29&lt;=1,AH49,0)</f>
        <v>39784.37</v>
      </c>
      <c r="AT49">
        <f>IF(Source!BI29&lt;=1,AJ49,0)</f>
        <v>26522.91</v>
      </c>
      <c r="BC49">
        <f>IF(Source!BI29=2,AH49,0)</f>
        <v>0</v>
      </c>
      <c r="BD49">
        <f>IF(Source!BI29=2,AJ49,0)</f>
        <v>0</v>
      </c>
    </row>
    <row r="50" ht="25.5">
      <c r="B50" s="45" t="str">
        <f>Source!EO29</f>
        <v>Поправка: МР 571/пр Табл.2, п.4</v>
      </c>
    </row>
    <row r="51" ht="12.75">
      <c r="C51" s="46" t="str">
        <f>"Объем: "&amp;Source!K29&amp;"=54/"&amp;"100"</f>
        <v>Объем: 0,54=54/100</v>
      </c>
    </row>
    <row r="52" spans="1:12" ht="14.25">
      <c r="A52" s="74"/>
      <c r="B52" s="75">
        <v>1</v>
      </c>
      <c r="C52" s="74" t="s">
        <v>522</v>
      </c>
      <c r="D52" s="56"/>
      <c r="E52" s="57"/>
      <c r="F52" s="57"/>
      <c r="G52" s="57"/>
      <c r="H52" s="49">
        <f>Source!AO29</f>
        <v>2997.88</v>
      </c>
      <c r="I52" s="58">
        <f>ROUND(0.7,7)</f>
        <v>0.7</v>
      </c>
      <c r="J52" s="49">
        <f>ROUND(Source!AF29*Source!I29,2)</f>
        <v>1133.2</v>
      </c>
      <c r="K52" s="58">
        <f>IF(Source!BA29&lt;&gt;0,Source!BA29,1)</f>
        <v>37.34</v>
      </c>
      <c r="L52" s="49">
        <f>Source!S29</f>
        <v>42313.72</v>
      </c>
    </row>
    <row r="53" spans="1:12" ht="14.25">
      <c r="A53" s="74"/>
      <c r="B53" s="75">
        <v>3</v>
      </c>
      <c r="C53" s="74" t="s">
        <v>523</v>
      </c>
      <c r="D53" s="56"/>
      <c r="E53" s="57"/>
      <c r="F53" s="57"/>
      <c r="G53" s="57"/>
      <c r="H53" s="49">
        <f>Source!AM29</f>
        <v>575.19</v>
      </c>
      <c r="I53" s="58">
        <f>ROUND(0.7,7)</f>
        <v>0.7</v>
      </c>
      <c r="J53" s="49">
        <f>ROUND(((((Source!ET29*ROUND(0.7,7)))-((Source!EU29*ROUND(0.7,7))))+Source!AE29)*Source!I29,2)</f>
        <v>217.42</v>
      </c>
      <c r="K53" s="58">
        <f>IF(Source!BB29&lt;&gt;0,Source!BB29,1)</f>
        <v>13.24</v>
      </c>
      <c r="L53" s="49">
        <f>Source!Q29</f>
        <v>2878.77</v>
      </c>
    </row>
    <row r="54" spans="1:12" ht="14.25">
      <c r="A54" s="74"/>
      <c r="B54" s="75">
        <v>2</v>
      </c>
      <c r="C54" s="74" t="s">
        <v>524</v>
      </c>
      <c r="D54" s="56"/>
      <c r="E54" s="57"/>
      <c r="F54" s="57"/>
      <c r="G54" s="57"/>
      <c r="H54" s="49">
        <f>Source!AN29</f>
        <v>32.95</v>
      </c>
      <c r="I54" s="58">
        <f>ROUND(0.7,7)</f>
        <v>0.7</v>
      </c>
      <c r="J54" s="59">
        <f>ROUND(Source!AE29*Source!I29,2)</f>
        <v>12.46</v>
      </c>
      <c r="K54" s="58">
        <f>IF(Source!BS29&lt;&gt;0,Source!BS29,1)</f>
        <v>37.34</v>
      </c>
      <c r="L54" s="59">
        <f>Source!R29</f>
        <v>465.17</v>
      </c>
    </row>
    <row r="55" spans="1:12" ht="14.25">
      <c r="A55" s="74"/>
      <c r="B55" s="74"/>
      <c r="C55" s="74" t="s">
        <v>525</v>
      </c>
      <c r="D55" s="56" t="s">
        <v>526</v>
      </c>
      <c r="E55" s="57">
        <f>Source!AQ29</f>
        <v>298</v>
      </c>
      <c r="F55" s="57">
        <f>ROUND(0.7,7)</f>
        <v>0.7</v>
      </c>
      <c r="G55" s="112">
        <f>ROUND(Source!U29,7)</f>
        <v>112.644</v>
      </c>
      <c r="H55" s="49"/>
      <c r="I55" s="58"/>
      <c r="J55" s="49"/>
      <c r="K55" s="58"/>
      <c r="L55" s="49"/>
    </row>
    <row r="56" spans="1:12" ht="14.25">
      <c r="A56" s="74"/>
      <c r="B56" s="74"/>
      <c r="C56" s="76" t="s">
        <v>527</v>
      </c>
      <c r="D56" s="60" t="s">
        <v>526</v>
      </c>
      <c r="E56" s="61">
        <f>Source!AR29</f>
        <v>2.48</v>
      </c>
      <c r="F56" s="61">
        <f>ROUND(0.7,7)</f>
        <v>0.7</v>
      </c>
      <c r="G56" s="113">
        <f>ROUND(Source!V29,7)</f>
        <v>0.93744</v>
      </c>
      <c r="H56" s="62"/>
      <c r="I56" s="63"/>
      <c r="J56" s="62"/>
      <c r="K56" s="63"/>
      <c r="L56" s="62"/>
    </row>
    <row r="57" spans="1:12" ht="14.25">
      <c r="A57" s="74"/>
      <c r="B57" s="74"/>
      <c r="C57" s="74" t="s">
        <v>528</v>
      </c>
      <c r="D57" s="56"/>
      <c r="E57" s="57"/>
      <c r="F57" s="57"/>
      <c r="G57" s="57"/>
      <c r="H57" s="49">
        <f>H52+H53</f>
        <v>3573.07</v>
      </c>
      <c r="I57" s="58"/>
      <c r="J57" s="49">
        <f>J52+J53</f>
        <v>1350.6200000000001</v>
      </c>
      <c r="K57" s="58"/>
      <c r="L57" s="49">
        <f>L52+L53</f>
        <v>45192.49</v>
      </c>
    </row>
    <row r="58" spans="1:12" ht="14.25">
      <c r="A58" s="74"/>
      <c r="B58" s="74"/>
      <c r="C58" s="74" t="s">
        <v>529</v>
      </c>
      <c r="D58" s="56"/>
      <c r="E58" s="57"/>
      <c r="F58" s="57"/>
      <c r="G58" s="57"/>
      <c r="H58" s="49"/>
      <c r="I58" s="58"/>
      <c r="J58" s="49">
        <f>SUM(Q49:Q61)+SUM(V49:V61)+SUM(X49:X61)+SUM(Y49:Y61)</f>
        <v>1145.66</v>
      </c>
      <c r="K58" s="58"/>
      <c r="L58" s="49">
        <f>SUM(U49:U61)+SUM(W49:W61)+SUM(Z49:Z61)+SUM(AA49:AA61)</f>
        <v>42778.89</v>
      </c>
    </row>
    <row r="59" spans="1:12" ht="28.5">
      <c r="A59" s="74"/>
      <c r="B59" s="74" t="s">
        <v>35</v>
      </c>
      <c r="C59" s="74" t="s">
        <v>530</v>
      </c>
      <c r="D59" s="56" t="s">
        <v>531</v>
      </c>
      <c r="E59" s="57">
        <f>Source!BZ29</f>
        <v>93</v>
      </c>
      <c r="F59" s="57"/>
      <c r="G59" s="57">
        <f>Source!AT29</f>
        <v>93</v>
      </c>
      <c r="H59" s="49"/>
      <c r="I59" s="58"/>
      <c r="J59" s="49">
        <f>SUM(AG49:AG61)</f>
        <v>1065.46</v>
      </c>
      <c r="K59" s="58"/>
      <c r="L59" s="49">
        <f>SUM(AH49:AH61)</f>
        <v>39784.37</v>
      </c>
    </row>
    <row r="60" spans="1:12" ht="28.5">
      <c r="A60" s="76"/>
      <c r="B60" s="76" t="s">
        <v>36</v>
      </c>
      <c r="C60" s="76" t="s">
        <v>532</v>
      </c>
      <c r="D60" s="60" t="s">
        <v>531</v>
      </c>
      <c r="E60" s="61">
        <f>Source!CA29</f>
        <v>62</v>
      </c>
      <c r="F60" s="61"/>
      <c r="G60" s="61">
        <f>Source!AU29</f>
        <v>62</v>
      </c>
      <c r="H60" s="62"/>
      <c r="I60" s="63"/>
      <c r="J60" s="62">
        <f>SUM(AI49:AI61)</f>
        <v>710.31</v>
      </c>
      <c r="K60" s="63"/>
      <c r="L60" s="62">
        <f>SUM(AJ49:AJ61)</f>
        <v>26522.91</v>
      </c>
    </row>
    <row r="61" spans="3:53" ht="15">
      <c r="C61" s="134" t="s">
        <v>533</v>
      </c>
      <c r="D61" s="134"/>
      <c r="E61" s="134"/>
      <c r="F61" s="134"/>
      <c r="G61" s="134"/>
      <c r="H61" s="134"/>
      <c r="I61" s="134">
        <f>J52+J53+J59+J60</f>
        <v>3126.39</v>
      </c>
      <c r="J61" s="134"/>
      <c r="K61" s="134">
        <f>L52+L53+L59+L60</f>
        <v>111499.77</v>
      </c>
      <c r="L61" s="134"/>
      <c r="O61" s="48">
        <f>I61</f>
        <v>3126.39</v>
      </c>
      <c r="P61" s="48">
        <f>K61</f>
        <v>111499.77</v>
      </c>
      <c r="Q61" s="48">
        <f>J52</f>
        <v>1133.2</v>
      </c>
      <c r="R61" s="48">
        <f>J52</f>
        <v>1133.2</v>
      </c>
      <c r="U61" s="48">
        <f>L52</f>
        <v>42313.72</v>
      </c>
      <c r="X61" s="48">
        <f>J54</f>
        <v>12.46</v>
      </c>
      <c r="Z61" s="48">
        <f>L54</f>
        <v>465.17</v>
      </c>
      <c r="AB61" s="48">
        <f>J53</f>
        <v>217.42</v>
      </c>
      <c r="AD61" s="48">
        <f>L53</f>
        <v>2878.77</v>
      </c>
      <c r="AF61">
        <f>0</f>
        <v>0</v>
      </c>
      <c r="AN61">
        <f>IF(Source!BI29&lt;=1,J52+J53+J59+J60,0)</f>
        <v>3126.39</v>
      </c>
      <c r="AO61">
        <f>IF(Source!BI29&lt;=1,0,0)</f>
        <v>0</v>
      </c>
      <c r="AP61">
        <f>IF(Source!BI29&lt;=1,J53,0)</f>
        <v>217.42</v>
      </c>
      <c r="AQ61">
        <f>IF(Source!BI29&lt;=1,J52,0)</f>
        <v>1133.2</v>
      </c>
      <c r="AX61">
        <f>IF(Source!BI29=2,J52+J53+J59+J60,0)</f>
        <v>0</v>
      </c>
      <c r="AY61">
        <f>IF(Source!BI29=2,0,0)</f>
        <v>0</v>
      </c>
      <c r="AZ61">
        <f>IF(Source!BI29=2,J53,0)</f>
        <v>0</v>
      </c>
      <c r="BA61">
        <f>IF(Source!BI29=2,J52,0)</f>
        <v>0</v>
      </c>
    </row>
    <row r="62" spans="1:56" ht="117.75">
      <c r="A62" s="74">
        <v>2</v>
      </c>
      <c r="B62" s="74" t="s">
        <v>39</v>
      </c>
      <c r="C62" s="74" t="s">
        <v>534</v>
      </c>
      <c r="D62" s="56" t="str">
        <f>Source!DW31</f>
        <v>т</v>
      </c>
      <c r="E62" s="57">
        <f>Source!K31</f>
        <v>0.2</v>
      </c>
      <c r="F62" s="57"/>
      <c r="G62" s="57">
        <f>Source!I31</f>
        <v>0.2</v>
      </c>
      <c r="H62" s="49"/>
      <c r="I62" s="58"/>
      <c r="J62" s="49"/>
      <c r="K62" s="58"/>
      <c r="L62" s="49"/>
      <c r="AG62">
        <f>ROUND((Source!AT31/100)*((ROUND(Source!AF31*Source!I31,2)+ROUND(Source!AE31*Source!I31,2))),2)</f>
        <v>26.32</v>
      </c>
      <c r="AH62">
        <f>Source!X31</f>
        <v>982.68</v>
      </c>
      <c r="AI62">
        <f>ROUND((Source!AU31/100)*((ROUND(Source!AF31*Source!I31,2)+ROUND(Source!AE31*Source!I31,2))),2)</f>
        <v>17.55</v>
      </c>
      <c r="AJ62">
        <f>Source!Y31</f>
        <v>655.12</v>
      </c>
      <c r="AS62">
        <f>IF(Source!BI31&lt;=1,AH62,0)</f>
        <v>982.68</v>
      </c>
      <c r="AT62">
        <f>IF(Source!BI31&lt;=1,AJ62,0)</f>
        <v>655.12</v>
      </c>
      <c r="BC62">
        <f>IF(Source!BI31=2,AH62,0)</f>
        <v>0</v>
      </c>
      <c r="BD62">
        <f>IF(Source!BI31=2,AJ62,0)</f>
        <v>0</v>
      </c>
    </row>
    <row r="63" ht="25.5">
      <c r="B63" s="45" t="str">
        <f>Source!EO31</f>
        <v>Поправка: МР 571/пр Табл.2, п.4</v>
      </c>
    </row>
    <row r="64" spans="1:12" ht="14.25">
      <c r="A64" s="74"/>
      <c r="B64" s="75">
        <v>1</v>
      </c>
      <c r="C64" s="74" t="s">
        <v>522</v>
      </c>
      <c r="D64" s="56"/>
      <c r="E64" s="57"/>
      <c r="F64" s="57"/>
      <c r="G64" s="57"/>
      <c r="H64" s="49">
        <f>Source!AO31</f>
        <v>159.28</v>
      </c>
      <c r="I64" s="58">
        <f>ROUND(0.7,7)</f>
        <v>0.7</v>
      </c>
      <c r="J64" s="49">
        <f>ROUND(Source!AF31*Source!I31,2)</f>
        <v>22.3</v>
      </c>
      <c r="K64" s="58">
        <f>IF(Source!BA31&lt;&gt;0,Source!BA31,1)</f>
        <v>37.34</v>
      </c>
      <c r="L64" s="49">
        <f>Source!S31</f>
        <v>832.68</v>
      </c>
    </row>
    <row r="65" spans="1:12" ht="14.25">
      <c r="A65" s="74"/>
      <c r="B65" s="75">
        <v>3</v>
      </c>
      <c r="C65" s="74" t="s">
        <v>523</v>
      </c>
      <c r="D65" s="56"/>
      <c r="E65" s="57"/>
      <c r="F65" s="57"/>
      <c r="G65" s="57"/>
      <c r="H65" s="49">
        <f>Source!AM31</f>
        <v>467.67</v>
      </c>
      <c r="I65" s="58">
        <f>ROUND(0.7,7)</f>
        <v>0.7</v>
      </c>
      <c r="J65" s="49">
        <f>ROUND(((((Source!ET31*ROUND(0.7,7)))-((Source!EU31*ROUND(0.7,7))))+Source!AE31)*Source!I31,2)</f>
        <v>65.47</v>
      </c>
      <c r="K65" s="58">
        <f>IF(Source!BB31&lt;&gt;0,Source!BB31,1)</f>
        <v>13.24</v>
      </c>
      <c r="L65" s="49">
        <f>Source!Q31</f>
        <v>866.89</v>
      </c>
    </row>
    <row r="66" spans="1:12" ht="14.25">
      <c r="A66" s="74"/>
      <c r="B66" s="75">
        <v>2</v>
      </c>
      <c r="C66" s="74" t="s">
        <v>524</v>
      </c>
      <c r="D66" s="56"/>
      <c r="E66" s="57"/>
      <c r="F66" s="57"/>
      <c r="G66" s="57"/>
      <c r="H66" s="49">
        <f>Source!AN31</f>
        <v>42.84</v>
      </c>
      <c r="I66" s="58">
        <f>ROUND(0.7,7)</f>
        <v>0.7</v>
      </c>
      <c r="J66" s="59">
        <f>ROUND(Source!AE31*Source!I31,2)</f>
        <v>6</v>
      </c>
      <c r="K66" s="58">
        <f>IF(Source!BS31&lt;&gt;0,Source!BS31,1)</f>
        <v>37.34</v>
      </c>
      <c r="L66" s="59">
        <f>Source!R31</f>
        <v>223.97</v>
      </c>
    </row>
    <row r="67" spans="1:12" ht="14.25">
      <c r="A67" s="74"/>
      <c r="B67" s="74"/>
      <c r="C67" s="74" t="s">
        <v>525</v>
      </c>
      <c r="D67" s="56" t="s">
        <v>526</v>
      </c>
      <c r="E67" s="57">
        <f>Source!AQ31</f>
        <v>15.6</v>
      </c>
      <c r="F67" s="57">
        <f>ROUND(0.7,7)</f>
        <v>0.7</v>
      </c>
      <c r="G67" s="112">
        <f>ROUND(Source!U31,7)</f>
        <v>2.184</v>
      </c>
      <c r="H67" s="49"/>
      <c r="I67" s="58"/>
      <c r="J67" s="49"/>
      <c r="K67" s="58"/>
      <c r="L67" s="49"/>
    </row>
    <row r="68" spans="1:12" ht="14.25">
      <c r="A68" s="74"/>
      <c r="B68" s="74"/>
      <c r="C68" s="76" t="s">
        <v>527</v>
      </c>
      <c r="D68" s="60" t="s">
        <v>526</v>
      </c>
      <c r="E68" s="61">
        <f>Source!AR31</f>
        <v>2.88</v>
      </c>
      <c r="F68" s="61">
        <f>ROUND(0.7,7)</f>
        <v>0.7</v>
      </c>
      <c r="G68" s="113">
        <f>ROUND(Source!V31,7)</f>
        <v>0.4032</v>
      </c>
      <c r="H68" s="62"/>
      <c r="I68" s="63"/>
      <c r="J68" s="62"/>
      <c r="K68" s="63"/>
      <c r="L68" s="62"/>
    </row>
    <row r="69" spans="1:12" ht="14.25">
      <c r="A69" s="74"/>
      <c r="B69" s="74"/>
      <c r="C69" s="74" t="s">
        <v>528</v>
      </c>
      <c r="D69" s="56"/>
      <c r="E69" s="57"/>
      <c r="F69" s="57"/>
      <c r="G69" s="57"/>
      <c r="H69" s="49">
        <f>H64+H65</f>
        <v>626.95</v>
      </c>
      <c r="I69" s="58"/>
      <c r="J69" s="49">
        <f>J64+J65</f>
        <v>87.77</v>
      </c>
      <c r="K69" s="58"/>
      <c r="L69" s="49">
        <f>L64+L65</f>
        <v>1699.57</v>
      </c>
    </row>
    <row r="70" spans="1:12" ht="14.25">
      <c r="A70" s="74"/>
      <c r="B70" s="74"/>
      <c r="C70" s="74" t="s">
        <v>529</v>
      </c>
      <c r="D70" s="56"/>
      <c r="E70" s="57"/>
      <c r="F70" s="57"/>
      <c r="G70" s="57"/>
      <c r="H70" s="49"/>
      <c r="I70" s="58"/>
      <c r="J70" s="49">
        <f>SUM(Q62:Q73)+SUM(V62:V73)+SUM(X62:X73)+SUM(Y62:Y73)</f>
        <v>28.3</v>
      </c>
      <c r="K70" s="58"/>
      <c r="L70" s="49">
        <f>SUM(U62:U73)+SUM(W62:W73)+SUM(Z62:Z73)+SUM(AA62:AA73)</f>
        <v>1056.6499999999999</v>
      </c>
    </row>
    <row r="71" spans="1:12" ht="28.5">
      <c r="A71" s="74"/>
      <c r="B71" s="74" t="s">
        <v>35</v>
      </c>
      <c r="C71" s="74" t="s">
        <v>530</v>
      </c>
      <c r="D71" s="56" t="s">
        <v>531</v>
      </c>
      <c r="E71" s="57">
        <f>Source!BZ31</f>
        <v>93</v>
      </c>
      <c r="F71" s="57"/>
      <c r="G71" s="57">
        <f>Source!AT31</f>
        <v>93</v>
      </c>
      <c r="H71" s="49"/>
      <c r="I71" s="58"/>
      <c r="J71" s="49">
        <f>SUM(AG62:AG73)</f>
        <v>26.32</v>
      </c>
      <c r="K71" s="58"/>
      <c r="L71" s="49">
        <f>SUM(AH62:AH73)</f>
        <v>982.68</v>
      </c>
    </row>
    <row r="72" spans="1:12" ht="28.5">
      <c r="A72" s="76"/>
      <c r="B72" s="76" t="s">
        <v>36</v>
      </c>
      <c r="C72" s="76" t="s">
        <v>532</v>
      </c>
      <c r="D72" s="60" t="s">
        <v>531</v>
      </c>
      <c r="E72" s="61">
        <f>Source!CA31</f>
        <v>62</v>
      </c>
      <c r="F72" s="61"/>
      <c r="G72" s="61">
        <f>Source!AU31</f>
        <v>62</v>
      </c>
      <c r="H72" s="62"/>
      <c r="I72" s="63"/>
      <c r="J72" s="62">
        <f>SUM(AI62:AI73)</f>
        <v>17.55</v>
      </c>
      <c r="K72" s="63"/>
      <c r="L72" s="62">
        <f>SUM(AJ62:AJ73)</f>
        <v>655.12</v>
      </c>
    </row>
    <row r="73" spans="3:53" ht="15">
      <c r="C73" s="134" t="s">
        <v>533</v>
      </c>
      <c r="D73" s="134"/>
      <c r="E73" s="134"/>
      <c r="F73" s="134"/>
      <c r="G73" s="134"/>
      <c r="H73" s="134"/>
      <c r="I73" s="134">
        <f>J64+J65+J71+J72</f>
        <v>131.64000000000001</v>
      </c>
      <c r="J73" s="134"/>
      <c r="K73" s="134">
        <f>L64+L65+L71+L72</f>
        <v>3337.37</v>
      </c>
      <c r="L73" s="134"/>
      <c r="O73" s="48">
        <f>I73</f>
        <v>131.64000000000001</v>
      </c>
      <c r="P73" s="48">
        <f>K73</f>
        <v>3337.37</v>
      </c>
      <c r="Q73" s="48">
        <f>J64</f>
        <v>22.3</v>
      </c>
      <c r="R73" s="48">
        <f>J64</f>
        <v>22.3</v>
      </c>
      <c r="U73" s="48">
        <f>L64</f>
        <v>832.68</v>
      </c>
      <c r="X73" s="48">
        <f>J66</f>
        <v>6</v>
      </c>
      <c r="Z73" s="48">
        <f>L66</f>
        <v>223.97</v>
      </c>
      <c r="AB73" s="48">
        <f>J65</f>
        <v>65.47</v>
      </c>
      <c r="AD73" s="48">
        <f>L65</f>
        <v>866.89</v>
      </c>
      <c r="AF73">
        <f>0</f>
        <v>0</v>
      </c>
      <c r="AN73">
        <f>IF(Source!BI31&lt;=1,J64+J65+J71+J72,0)</f>
        <v>131.64000000000001</v>
      </c>
      <c r="AO73">
        <f>IF(Source!BI31&lt;=1,0,0)</f>
        <v>0</v>
      </c>
      <c r="AP73">
        <f>IF(Source!BI31&lt;=1,J65,0)</f>
        <v>65.47</v>
      </c>
      <c r="AQ73">
        <f>IF(Source!BI31&lt;=1,J64,0)</f>
        <v>22.3</v>
      </c>
      <c r="AX73">
        <f>IF(Source!BI31=2,J64+J65+J71+J72,0)</f>
        <v>0</v>
      </c>
      <c r="AY73">
        <f>IF(Source!BI31=2,0,0)</f>
        <v>0</v>
      </c>
      <c r="AZ73">
        <f>IF(Source!BI31=2,J65,0)</f>
        <v>0</v>
      </c>
      <c r="BA73">
        <f>IF(Source!BI31=2,J64,0)</f>
        <v>0</v>
      </c>
    </row>
    <row r="74" spans="1:56" ht="117.75">
      <c r="A74" s="74">
        <v>3</v>
      </c>
      <c r="B74" s="74" t="s">
        <v>535</v>
      </c>
      <c r="C74" s="74" t="s">
        <v>536</v>
      </c>
      <c r="D74" s="56" t="str">
        <f>Source!DW59</f>
        <v>т</v>
      </c>
      <c r="E74" s="57">
        <f>Source!K59</f>
        <v>0.015</v>
      </c>
      <c r="F74" s="57"/>
      <c r="G74" s="57">
        <f>Source!I59</f>
        <v>0.015</v>
      </c>
      <c r="H74" s="49"/>
      <c r="I74" s="58"/>
      <c r="J74" s="49"/>
      <c r="K74" s="58"/>
      <c r="L74" s="49"/>
      <c r="AG74">
        <f>ROUND((Source!AT59/100)*((ROUND(Source!AF59*Source!I59,2)+ROUND(Source!AE59*Source!I59,2))),2)</f>
        <v>27.51</v>
      </c>
      <c r="AH74">
        <f>Source!X59</f>
        <v>1026.92</v>
      </c>
      <c r="AI74">
        <f>ROUND((Source!AU59/100)*((ROUND(Source!AF59*Source!I59,2)+ROUND(Source!AE59*Source!I59,2))),2)</f>
        <v>15.64</v>
      </c>
      <c r="AJ74">
        <f>Source!Y59</f>
        <v>583.93</v>
      </c>
      <c r="AS74">
        <f>IF(Source!BI59&lt;=1,AH74,0)</f>
        <v>1026.92</v>
      </c>
      <c r="AT74">
        <f>IF(Source!BI59&lt;=1,AJ74,0)</f>
        <v>583.93</v>
      </c>
      <c r="BC74">
        <f>IF(Source!BI59=2,AH74,0)</f>
        <v>0</v>
      </c>
      <c r="BD74">
        <f>IF(Source!BI59=2,AJ74,0)</f>
        <v>0</v>
      </c>
    </row>
    <row r="75" ht="25.5">
      <c r="B75" s="45" t="str">
        <f>Source!EO59</f>
        <v>Поправка: МР 571/пр Табл.2, п.4</v>
      </c>
    </row>
    <row r="76" spans="1:12" ht="14.25">
      <c r="A76" s="74"/>
      <c r="B76" s="75">
        <v>1</v>
      </c>
      <c r="C76" s="74" t="s">
        <v>522</v>
      </c>
      <c r="D76" s="56"/>
      <c r="E76" s="57"/>
      <c r="F76" s="57"/>
      <c r="G76" s="57"/>
      <c r="H76" s="49">
        <f>Source!AO59</f>
        <v>2560.54</v>
      </c>
      <c r="I76" s="58">
        <f>ROUND(0.7,7)</f>
        <v>0.7</v>
      </c>
      <c r="J76" s="49">
        <f>ROUND(Source!AF59*Source!I59,2)</f>
        <v>26.89</v>
      </c>
      <c r="K76" s="58">
        <f>IF(Source!BA59&lt;&gt;0,Source!BA59,1)</f>
        <v>37.34</v>
      </c>
      <c r="L76" s="49">
        <f>Source!S59</f>
        <v>1003.91</v>
      </c>
    </row>
    <row r="77" spans="1:12" ht="14.25">
      <c r="A77" s="74"/>
      <c r="B77" s="75">
        <v>3</v>
      </c>
      <c r="C77" s="74" t="s">
        <v>523</v>
      </c>
      <c r="D77" s="56"/>
      <c r="E77" s="57"/>
      <c r="F77" s="57"/>
      <c r="G77" s="57"/>
      <c r="H77" s="49">
        <f>Source!AM59</f>
        <v>51.19</v>
      </c>
      <c r="I77" s="58">
        <f>ROUND(0.7,7)</f>
        <v>0.7</v>
      </c>
      <c r="J77" s="49">
        <f>ROUND(((((Source!ET59*ROUND(0.7,7)))-((Source!EU59*ROUND(0.7,7))))+Source!AE59)*Source!I59,2)</f>
        <v>0.54</v>
      </c>
      <c r="K77" s="58">
        <f>IF(Source!BB59&lt;&gt;0,Source!BB59,1)</f>
        <v>13.24</v>
      </c>
      <c r="L77" s="49">
        <f>Source!Q59</f>
        <v>7.11</v>
      </c>
    </row>
    <row r="78" spans="1:12" ht="14.25">
      <c r="A78" s="74"/>
      <c r="B78" s="75">
        <v>2</v>
      </c>
      <c r="C78" s="74" t="s">
        <v>524</v>
      </c>
      <c r="D78" s="56"/>
      <c r="E78" s="57"/>
      <c r="F78" s="57"/>
      <c r="G78" s="57"/>
      <c r="H78" s="49">
        <f>Source!AN59</f>
        <v>7.32</v>
      </c>
      <c r="I78" s="58">
        <f>ROUND(0.7,7)</f>
        <v>0.7</v>
      </c>
      <c r="J78" s="59">
        <f>ROUND(Source!AE59*Source!I59,2)</f>
        <v>0.08</v>
      </c>
      <c r="K78" s="58">
        <f>IF(Source!BS59&lt;&gt;0,Source!BS59,1)</f>
        <v>37.34</v>
      </c>
      <c r="L78" s="59">
        <f>Source!R59</f>
        <v>2.87</v>
      </c>
    </row>
    <row r="79" spans="1:12" ht="14.25">
      <c r="A79" s="74"/>
      <c r="B79" s="74"/>
      <c r="C79" s="74" t="s">
        <v>525</v>
      </c>
      <c r="D79" s="56" t="s">
        <v>526</v>
      </c>
      <c r="E79" s="57">
        <f>Source!AQ59</f>
        <v>289</v>
      </c>
      <c r="F79" s="57">
        <f>ROUND(0.7,7)</f>
        <v>0.7</v>
      </c>
      <c r="G79" s="112">
        <f>ROUND(Source!U59,7)</f>
        <v>3.0345</v>
      </c>
      <c r="H79" s="49"/>
      <c r="I79" s="58"/>
      <c r="J79" s="49"/>
      <c r="K79" s="58"/>
      <c r="L79" s="49"/>
    </row>
    <row r="80" spans="1:12" ht="14.25">
      <c r="A80" s="74"/>
      <c r="B80" s="74"/>
      <c r="C80" s="76" t="s">
        <v>527</v>
      </c>
      <c r="D80" s="60" t="s">
        <v>526</v>
      </c>
      <c r="E80" s="61">
        <f>Source!AR59</f>
        <v>0.59</v>
      </c>
      <c r="F80" s="61">
        <f>ROUND(0.7,7)</f>
        <v>0.7</v>
      </c>
      <c r="G80" s="113">
        <f>ROUND(Source!V59,7)</f>
        <v>0.006195</v>
      </c>
      <c r="H80" s="62"/>
      <c r="I80" s="63"/>
      <c r="J80" s="62"/>
      <c r="K80" s="63"/>
      <c r="L80" s="62"/>
    </row>
    <row r="81" spans="1:12" ht="14.25">
      <c r="A81" s="74"/>
      <c r="B81" s="74"/>
      <c r="C81" s="74" t="s">
        <v>528</v>
      </c>
      <c r="D81" s="56"/>
      <c r="E81" s="57"/>
      <c r="F81" s="57"/>
      <c r="G81" s="57"/>
      <c r="H81" s="49">
        <f>H76+H77</f>
        <v>2611.73</v>
      </c>
      <c r="I81" s="58"/>
      <c r="J81" s="49">
        <f>J76+J77</f>
        <v>27.43</v>
      </c>
      <c r="K81" s="58"/>
      <c r="L81" s="49">
        <f>L76+L77</f>
        <v>1011.02</v>
      </c>
    </row>
    <row r="82" spans="1:12" ht="14.25">
      <c r="A82" s="74"/>
      <c r="B82" s="74"/>
      <c r="C82" s="74" t="s">
        <v>529</v>
      </c>
      <c r="D82" s="56"/>
      <c r="E82" s="57"/>
      <c r="F82" s="57"/>
      <c r="G82" s="57"/>
      <c r="H82" s="49"/>
      <c r="I82" s="58"/>
      <c r="J82" s="49">
        <f>SUM(Q74:Q85)+SUM(V74:V85)+SUM(X74:X85)+SUM(Y74:Y85)</f>
        <v>26.97</v>
      </c>
      <c r="K82" s="58"/>
      <c r="L82" s="49">
        <f>SUM(U74:U85)+SUM(W74:W85)+SUM(Z74:Z85)+SUM(AA74:AA85)</f>
        <v>1006.78</v>
      </c>
    </row>
    <row r="83" spans="1:12" ht="42.75">
      <c r="A83" s="74"/>
      <c r="B83" s="74" t="s">
        <v>104</v>
      </c>
      <c r="C83" s="74" t="s">
        <v>537</v>
      </c>
      <c r="D83" s="56" t="s">
        <v>531</v>
      </c>
      <c r="E83" s="57">
        <f>Source!BZ59</f>
        <v>102</v>
      </c>
      <c r="F83" s="57"/>
      <c r="G83" s="57">
        <f>Source!AT59</f>
        <v>102</v>
      </c>
      <c r="H83" s="49"/>
      <c r="I83" s="58"/>
      <c r="J83" s="49">
        <f>SUM(AG74:AG85)</f>
        <v>27.51</v>
      </c>
      <c r="K83" s="58"/>
      <c r="L83" s="49">
        <f>SUM(AH74:AH85)</f>
        <v>1026.92</v>
      </c>
    </row>
    <row r="84" spans="1:12" ht="42.75">
      <c r="A84" s="76"/>
      <c r="B84" s="76" t="s">
        <v>105</v>
      </c>
      <c r="C84" s="76" t="s">
        <v>538</v>
      </c>
      <c r="D84" s="60" t="s">
        <v>531</v>
      </c>
      <c r="E84" s="61">
        <f>Source!CA59</f>
        <v>58</v>
      </c>
      <c r="F84" s="61"/>
      <c r="G84" s="61">
        <f>Source!AU59</f>
        <v>58</v>
      </c>
      <c r="H84" s="62"/>
      <c r="I84" s="63"/>
      <c r="J84" s="62">
        <f>SUM(AI74:AI85)</f>
        <v>15.64</v>
      </c>
      <c r="K84" s="63"/>
      <c r="L84" s="62">
        <f>SUM(AJ74:AJ85)</f>
        <v>583.93</v>
      </c>
    </row>
    <row r="85" spans="3:53" ht="15">
      <c r="C85" s="134" t="s">
        <v>533</v>
      </c>
      <c r="D85" s="134"/>
      <c r="E85" s="134"/>
      <c r="F85" s="134"/>
      <c r="G85" s="134"/>
      <c r="H85" s="134"/>
      <c r="I85" s="134">
        <f>J76+J77+J83+J84</f>
        <v>70.58</v>
      </c>
      <c r="J85" s="134"/>
      <c r="K85" s="134">
        <f>L76+L77+L83+L84</f>
        <v>2621.87</v>
      </c>
      <c r="L85" s="134"/>
      <c r="O85" s="48">
        <f>I85</f>
        <v>70.58</v>
      </c>
      <c r="P85" s="48">
        <f>K85</f>
        <v>2621.87</v>
      </c>
      <c r="Q85" s="48">
        <f>J76</f>
        <v>26.89</v>
      </c>
      <c r="R85" s="48">
        <f>J76</f>
        <v>26.89</v>
      </c>
      <c r="U85" s="48">
        <f>L76</f>
        <v>1003.91</v>
      </c>
      <c r="X85" s="48">
        <f>J78</f>
        <v>0.08</v>
      </c>
      <c r="Z85" s="48">
        <f>L78</f>
        <v>2.87</v>
      </c>
      <c r="AB85" s="48">
        <f>J77</f>
        <v>0.54</v>
      </c>
      <c r="AD85" s="48">
        <f>L77</f>
        <v>7.11</v>
      </c>
      <c r="AF85">
        <f>0</f>
        <v>0</v>
      </c>
      <c r="AN85">
        <f>IF(Source!BI59&lt;=1,J76+J77+J83+J84,0)</f>
        <v>70.58</v>
      </c>
      <c r="AO85">
        <f>IF(Source!BI59&lt;=1,0,0)</f>
        <v>0</v>
      </c>
      <c r="AP85">
        <f>IF(Source!BI59&lt;=1,J77,0)</f>
        <v>0.54</v>
      </c>
      <c r="AQ85">
        <f>IF(Source!BI59&lt;=1,J76,0)</f>
        <v>26.89</v>
      </c>
      <c r="AX85">
        <f>IF(Source!BI59=2,J76+J77+J83+J84,0)</f>
        <v>0</v>
      </c>
      <c r="AY85">
        <f>IF(Source!BI59=2,0,0)</f>
        <v>0</v>
      </c>
      <c r="AZ85">
        <f>IF(Source!BI59=2,J77,0)</f>
        <v>0</v>
      </c>
      <c r="BA85">
        <f>IF(Source!BI59=2,J76,0)</f>
        <v>0</v>
      </c>
    </row>
    <row r="86" spans="1:56" ht="117.75">
      <c r="A86" s="74">
        <v>4</v>
      </c>
      <c r="B86" s="74" t="s">
        <v>39</v>
      </c>
      <c r="C86" s="74" t="s">
        <v>539</v>
      </c>
      <c r="D86" s="56" t="str">
        <f>Source!DW65</f>
        <v>т</v>
      </c>
      <c r="E86" s="57">
        <f>Source!K65</f>
        <v>0.24</v>
      </c>
      <c r="F86" s="57"/>
      <c r="G86" s="57">
        <f>Source!I65</f>
        <v>0.24</v>
      </c>
      <c r="H86" s="49"/>
      <c r="I86" s="58"/>
      <c r="J86" s="49"/>
      <c r="K86" s="58"/>
      <c r="L86" s="49"/>
      <c r="AG86">
        <f>ROUND((Source!AT65/100)*((ROUND(Source!AF65*Source!I65,2)+ROUND(Source!AE65*Source!I65,2))),2)</f>
        <v>52.83</v>
      </c>
      <c r="AH86">
        <f>Source!X65</f>
        <v>1972.89</v>
      </c>
      <c r="AI86">
        <f>ROUND((Source!AU65/100)*((ROUND(Source!AF65*Source!I65,2)+ROUND(Source!AE65*Source!I65,2))),2)</f>
        <v>29.94</v>
      </c>
      <c r="AJ86">
        <f>Source!Y65</f>
        <v>1117.97</v>
      </c>
      <c r="AS86">
        <f>IF(Source!BI65&lt;=1,AH86,0)</f>
        <v>1972.89</v>
      </c>
      <c r="AT86">
        <f>IF(Source!BI65&lt;=1,AJ86,0)</f>
        <v>1117.97</v>
      </c>
      <c r="BC86">
        <f>IF(Source!BI65=2,AH86,0)</f>
        <v>0</v>
      </c>
      <c r="BD86">
        <f>IF(Source!BI65=2,AJ86,0)</f>
        <v>0</v>
      </c>
    </row>
    <row r="87" ht="38.25">
      <c r="B87" s="45" t="str">
        <f>Source!EO65</f>
        <v>Поправка: М-ка 421/пр 04.08.20 п.58 п.п. б)</v>
      </c>
    </row>
    <row r="88" spans="1:12" ht="14.25">
      <c r="A88" s="74"/>
      <c r="B88" s="75">
        <v>1</v>
      </c>
      <c r="C88" s="74" t="s">
        <v>522</v>
      </c>
      <c r="D88" s="56"/>
      <c r="E88" s="57"/>
      <c r="F88" s="57"/>
      <c r="G88" s="57"/>
      <c r="H88" s="49">
        <f>Source!AO65</f>
        <v>159.28</v>
      </c>
      <c r="I88" s="58">
        <f>ROUND(1.15,7)</f>
        <v>1.15</v>
      </c>
      <c r="J88" s="49">
        <f>ROUND(Source!AF65*Source!I65,2)</f>
        <v>43.96</v>
      </c>
      <c r="K88" s="58">
        <f>IF(Source!BA65&lt;&gt;0,Source!BA65,1)</f>
        <v>37.34</v>
      </c>
      <c r="L88" s="49">
        <f>Source!S65</f>
        <v>1641.5</v>
      </c>
    </row>
    <row r="89" spans="1:12" ht="14.25">
      <c r="A89" s="74"/>
      <c r="B89" s="75">
        <v>3</v>
      </c>
      <c r="C89" s="74" t="s">
        <v>523</v>
      </c>
      <c r="D89" s="56"/>
      <c r="E89" s="57"/>
      <c r="F89" s="57"/>
      <c r="G89" s="57"/>
      <c r="H89" s="49">
        <f>Source!AM65</f>
        <v>467.67</v>
      </c>
      <c r="I89" s="58">
        <f>ROUND(1.25,7)</f>
        <v>1.25</v>
      </c>
      <c r="J89" s="49">
        <f>ROUND(((((Source!ET65*ROUND(1.25,7)))-((Source!EU65*ROUND(1.25,7))))+Source!AE65)*Source!I65,2)</f>
        <v>140.3</v>
      </c>
      <c r="K89" s="58">
        <f>IF(Source!BB65&lt;&gt;0,Source!BB65,1)</f>
        <v>13.24</v>
      </c>
      <c r="L89" s="49">
        <f>Source!Q65</f>
        <v>1857.59</v>
      </c>
    </row>
    <row r="90" spans="1:12" ht="14.25">
      <c r="A90" s="74"/>
      <c r="B90" s="75">
        <v>2</v>
      </c>
      <c r="C90" s="74" t="s">
        <v>524</v>
      </c>
      <c r="D90" s="56"/>
      <c r="E90" s="57"/>
      <c r="F90" s="57"/>
      <c r="G90" s="57"/>
      <c r="H90" s="49">
        <f>Source!AN65</f>
        <v>42.84</v>
      </c>
      <c r="I90" s="58">
        <f>ROUND(1.25,7)</f>
        <v>1.25</v>
      </c>
      <c r="J90" s="59">
        <f>ROUND(Source!AE65*Source!I65,2)</f>
        <v>12.85</v>
      </c>
      <c r="K90" s="58">
        <f>IF(Source!BS65&lt;&gt;0,Source!BS65,1)</f>
        <v>37.34</v>
      </c>
      <c r="L90" s="59">
        <f>Source!R65</f>
        <v>479.89</v>
      </c>
    </row>
    <row r="91" spans="1:12" ht="14.25">
      <c r="A91" s="74"/>
      <c r="B91" s="75">
        <v>4</v>
      </c>
      <c r="C91" s="74" t="s">
        <v>540</v>
      </c>
      <c r="D91" s="56"/>
      <c r="E91" s="57"/>
      <c r="F91" s="57"/>
      <c r="G91" s="57"/>
      <c r="H91" s="49">
        <f>Source!AL65</f>
        <v>106.34</v>
      </c>
      <c r="I91" s="58"/>
      <c r="J91" s="49">
        <f>ROUND(Source!AC65*Source!I65,2)</f>
        <v>25.52</v>
      </c>
      <c r="K91" s="58">
        <f>IF(Source!BC65&lt;&gt;0,Source!BC65,1)</f>
        <v>6.72</v>
      </c>
      <c r="L91" s="49">
        <f>Source!P65</f>
        <v>171.51</v>
      </c>
    </row>
    <row r="92" spans="1:12" ht="14.25">
      <c r="A92" s="74"/>
      <c r="B92" s="74"/>
      <c r="C92" s="74" t="s">
        <v>525</v>
      </c>
      <c r="D92" s="56" t="s">
        <v>526</v>
      </c>
      <c r="E92" s="57">
        <f>Source!AQ65</f>
        <v>15.6</v>
      </c>
      <c r="F92" s="57">
        <f>ROUND(1.15,7)</f>
        <v>1.15</v>
      </c>
      <c r="G92" s="112">
        <f>ROUND(Source!U65,7)</f>
        <v>4.3056</v>
      </c>
      <c r="H92" s="49"/>
      <c r="I92" s="58"/>
      <c r="J92" s="49"/>
      <c r="K92" s="58"/>
      <c r="L92" s="49"/>
    </row>
    <row r="93" spans="1:12" ht="14.25">
      <c r="A93" s="74"/>
      <c r="B93" s="74"/>
      <c r="C93" s="76" t="s">
        <v>527</v>
      </c>
      <c r="D93" s="60" t="s">
        <v>526</v>
      </c>
      <c r="E93" s="61">
        <f>Source!AR65</f>
        <v>2.88</v>
      </c>
      <c r="F93" s="61">
        <f>ROUND(1.25,7)</f>
        <v>1.25</v>
      </c>
      <c r="G93" s="113">
        <f>ROUND(Source!V65,7)</f>
        <v>0.864</v>
      </c>
      <c r="H93" s="62"/>
      <c r="I93" s="63"/>
      <c r="J93" s="62"/>
      <c r="K93" s="63"/>
      <c r="L93" s="62"/>
    </row>
    <row r="94" spans="1:12" ht="14.25">
      <c r="A94" s="74"/>
      <c r="B94" s="74"/>
      <c r="C94" s="74" t="s">
        <v>528</v>
      </c>
      <c r="D94" s="56"/>
      <c r="E94" s="57"/>
      <c r="F94" s="57"/>
      <c r="G94" s="57"/>
      <c r="H94" s="49">
        <f>H88+H89+H91</f>
        <v>733.2900000000001</v>
      </c>
      <c r="I94" s="58"/>
      <c r="J94" s="49">
        <f>J88+J89+J91</f>
        <v>209.78000000000003</v>
      </c>
      <c r="K94" s="58"/>
      <c r="L94" s="49">
        <f>L88+L89+L91</f>
        <v>3670.6000000000004</v>
      </c>
    </row>
    <row r="95" spans="1:56" ht="57">
      <c r="A95" s="74" t="s">
        <v>121</v>
      </c>
      <c r="B95" s="74" t="s">
        <v>541</v>
      </c>
      <c r="C95" s="74" t="str">
        <f>Source!G67</f>
        <v>Элементы конструктивные вспомогательного назначения с преобладанием профильного проката с отверстиями</v>
      </c>
      <c r="D95" s="56" t="str">
        <f>Source!DW67</f>
        <v>т</v>
      </c>
      <c r="E95" s="57">
        <f>SmtRes!AT109</f>
        <v>1</v>
      </c>
      <c r="F95" s="57"/>
      <c r="G95" s="57">
        <f>Source!I67</f>
        <v>0.24</v>
      </c>
      <c r="H95" s="49">
        <f>Source!AL67+Source!AO67+Source!AM67</f>
        <v>9323.19</v>
      </c>
      <c r="I95" s="58"/>
      <c r="J95" s="49">
        <f>ROUND(Source!AC67*Source!I67,2)+ROUND((((Source!ET67)-(Source!EU67))+Source!AE67)*Source!I67,2)+ROUND(Source!AF67*Source!I67,2)</f>
        <v>2237.57</v>
      </c>
      <c r="K95" s="58">
        <f>IF(Source!BC67&lt;&gt;0,Source!BC67,1)</f>
        <v>6.72</v>
      </c>
      <c r="L95" s="49">
        <f>Source!O67</f>
        <v>15036.44</v>
      </c>
      <c r="AF95" s="48">
        <f>J95</f>
        <v>2237.57</v>
      </c>
      <c r="AG95">
        <f>ROUND((Source!AT67/100)*((ROUND(Source!AF67*Source!I67,2)+ROUND(Source!AE67*Source!I67,2))),2)</f>
        <v>0</v>
      </c>
      <c r="AH95">
        <f>Source!X67</f>
        <v>0</v>
      </c>
      <c r="AI95">
        <f>ROUND((Source!AU67/100)*((ROUND(Source!AF67*Source!I67,2)+ROUND(Source!AE67*Source!I67,2))),2)</f>
        <v>0</v>
      </c>
      <c r="AJ95">
        <f>Source!Y67</f>
        <v>0</v>
      </c>
      <c r="AN95">
        <f>IF(Source!BI67&lt;=1,J95,0)</f>
        <v>2237.57</v>
      </c>
      <c r="AO95">
        <f>IF(Source!BI67&lt;=1,J95,0)</f>
        <v>2237.57</v>
      </c>
      <c r="AS95">
        <f>IF(Source!BI67&lt;=1,AH95,0)</f>
        <v>0</v>
      </c>
      <c r="AT95">
        <f>IF(Source!BI67&lt;=1,AJ95,0)</f>
        <v>0</v>
      </c>
      <c r="AX95">
        <f>IF(Source!BI67=2,J95,0)</f>
        <v>0</v>
      </c>
      <c r="AY95">
        <f>IF(Source!BI67=2,J95,0)</f>
        <v>0</v>
      </c>
      <c r="BC95">
        <f>IF(Source!BI67=2,AH95,0)</f>
        <v>0</v>
      </c>
      <c r="BD95">
        <f>IF(Source!BI67=2,AJ95,0)</f>
        <v>0</v>
      </c>
    </row>
    <row r="96" spans="1:12" ht="14.25">
      <c r="A96" s="74"/>
      <c r="B96" s="74"/>
      <c r="C96" s="74" t="s">
        <v>529</v>
      </c>
      <c r="D96" s="56"/>
      <c r="E96" s="57"/>
      <c r="F96" s="57"/>
      <c r="G96" s="57"/>
      <c r="H96" s="49"/>
      <c r="I96" s="58"/>
      <c r="J96" s="49">
        <f>SUM(Q86:Q99)+SUM(V86:V99)+SUM(X86:X99)+SUM(Y86:Y99)</f>
        <v>56.81</v>
      </c>
      <c r="K96" s="58"/>
      <c r="L96" s="49">
        <f>SUM(U86:U99)+SUM(W86:W99)+SUM(Z86:Z99)+SUM(AA86:AA99)</f>
        <v>2121.39</v>
      </c>
    </row>
    <row r="97" spans="1:12" ht="28.5">
      <c r="A97" s="74"/>
      <c r="B97" s="74" t="s">
        <v>35</v>
      </c>
      <c r="C97" s="74" t="s">
        <v>530</v>
      </c>
      <c r="D97" s="56" t="s">
        <v>531</v>
      </c>
      <c r="E97" s="57">
        <f>Source!BZ65</f>
        <v>93</v>
      </c>
      <c r="F97" s="57"/>
      <c r="G97" s="57">
        <f>Source!AT65</f>
        <v>93</v>
      </c>
      <c r="H97" s="49"/>
      <c r="I97" s="58"/>
      <c r="J97" s="49">
        <f>SUM(AG86:AG99)</f>
        <v>52.83</v>
      </c>
      <c r="K97" s="58"/>
      <c r="L97" s="49">
        <f>SUM(AH86:AH99)</f>
        <v>1972.89</v>
      </c>
    </row>
    <row r="98" spans="1:12" ht="28.5">
      <c r="A98" s="76"/>
      <c r="B98" s="76" t="s">
        <v>542</v>
      </c>
      <c r="C98" s="76" t="s">
        <v>532</v>
      </c>
      <c r="D98" s="60" t="s">
        <v>531</v>
      </c>
      <c r="E98" s="61">
        <f>Source!CA65</f>
        <v>62</v>
      </c>
      <c r="F98" s="61">
        <f>ROUND(0.85,7)</f>
        <v>0.85</v>
      </c>
      <c r="G98" s="61">
        <f>Source!AU65</f>
        <v>52.7</v>
      </c>
      <c r="H98" s="62"/>
      <c r="I98" s="63"/>
      <c r="J98" s="62">
        <f>SUM(AI86:AI99)</f>
        <v>29.94</v>
      </c>
      <c r="K98" s="63"/>
      <c r="L98" s="62">
        <f>SUM(AJ86:AJ99)</f>
        <v>1117.97</v>
      </c>
    </row>
    <row r="99" spans="3:53" ht="15">
      <c r="C99" s="134" t="s">
        <v>533</v>
      </c>
      <c r="D99" s="134"/>
      <c r="E99" s="134"/>
      <c r="F99" s="134"/>
      <c r="G99" s="134"/>
      <c r="H99" s="134"/>
      <c r="I99" s="134">
        <f>J88+J89+J91+J97+J98+SUM(J95:J95)</f>
        <v>2530.1200000000003</v>
      </c>
      <c r="J99" s="134"/>
      <c r="K99" s="134">
        <f>L88+L89+L91+L97+L98+SUM(L95:L95)</f>
        <v>21797.9</v>
      </c>
      <c r="L99" s="134"/>
      <c r="O99" s="48">
        <f>I99</f>
        <v>2530.1200000000003</v>
      </c>
      <c r="P99" s="48">
        <f>K99</f>
        <v>21797.9</v>
      </c>
      <c r="Q99" s="48">
        <f>J88</f>
        <v>43.96</v>
      </c>
      <c r="R99" s="48">
        <f>J88</f>
        <v>43.96</v>
      </c>
      <c r="U99" s="48">
        <f>L88</f>
        <v>1641.5</v>
      </c>
      <c r="X99" s="48">
        <f>J90</f>
        <v>12.85</v>
      </c>
      <c r="Z99" s="48">
        <f>L90</f>
        <v>479.89</v>
      </c>
      <c r="AB99" s="48">
        <f>J89</f>
        <v>140.3</v>
      </c>
      <c r="AD99" s="48">
        <f>L89</f>
        <v>1857.59</v>
      </c>
      <c r="AF99" s="48">
        <f>J91</f>
        <v>25.52</v>
      </c>
      <c r="AN99">
        <f>IF(Source!BI65&lt;=1,J88+J89+J91+J97+J98,0)</f>
        <v>292.55</v>
      </c>
      <c r="AO99">
        <f>IF(Source!BI65&lt;=1,J91,0)</f>
        <v>25.52</v>
      </c>
      <c r="AP99">
        <f>IF(Source!BI65&lt;=1,J89,0)</f>
        <v>140.3</v>
      </c>
      <c r="AQ99">
        <f>IF(Source!BI65&lt;=1,J88,0)</f>
        <v>43.96</v>
      </c>
      <c r="AX99">
        <f>IF(Source!BI65=2,J88+J89+J91+J97+J98,0)</f>
        <v>0</v>
      </c>
      <c r="AY99">
        <f>IF(Source!BI65=2,J91,0)</f>
        <v>0</v>
      </c>
      <c r="AZ99">
        <f>IF(Source!BI65=2,J89,0)</f>
        <v>0</v>
      </c>
      <c r="BA99">
        <f>IF(Source!BI65=2,J88,0)</f>
        <v>0</v>
      </c>
    </row>
    <row r="100" spans="1:56" ht="57">
      <c r="A100" s="74">
        <v>5</v>
      </c>
      <c r="B100" s="74" t="s">
        <v>543</v>
      </c>
      <c r="C100" s="74" t="str">
        <f>Source!G69</f>
        <v>Сверление в железобетонных конструкциях вертикальных отверстий глубиной 200 мм диаметром: 20 мм (Применительно)</v>
      </c>
      <c r="D100" s="56" t="str">
        <f>Source!DW69</f>
        <v>100 отверстий</v>
      </c>
      <c r="E100" s="57">
        <f>Source!K69</f>
        <v>0.24</v>
      </c>
      <c r="F100" s="57"/>
      <c r="G100" s="57">
        <f>Source!I69</f>
        <v>0.24</v>
      </c>
      <c r="H100" s="49"/>
      <c r="I100" s="58"/>
      <c r="J100" s="49"/>
      <c r="K100" s="58"/>
      <c r="L100" s="49"/>
      <c r="AG100">
        <f>ROUND((Source!AT69/100)*((ROUND(Source!AF69*Source!I69,2)+ROUND(Source!AE69*Source!I69,2))),2)</f>
        <v>93.33</v>
      </c>
      <c r="AH100">
        <f>Source!X69</f>
        <v>3484.95</v>
      </c>
      <c r="AI100">
        <f>ROUND((Source!AU69/100)*((ROUND(Source!AF69*Source!I69,2)+ROUND(Source!AE69*Source!I69,2))),2)</f>
        <v>53.46</v>
      </c>
      <c r="AJ100">
        <f>Source!Y69</f>
        <v>1996.24</v>
      </c>
      <c r="AS100">
        <f>IF(Source!BI69&lt;=1,AH100,0)</f>
        <v>3484.95</v>
      </c>
      <c r="AT100">
        <f>IF(Source!BI69&lt;=1,AJ100,0)</f>
        <v>1996.24</v>
      </c>
      <c r="BC100">
        <f>IF(Source!BI69=2,AH100,0)</f>
        <v>0</v>
      </c>
      <c r="BD100">
        <f>IF(Source!BI69=2,AJ100,0)</f>
        <v>0</v>
      </c>
    </row>
    <row r="102" ht="12.75">
      <c r="C102" s="46" t="str">
        <f>"Объем: "&amp;Source!K69&amp;"=24/"&amp;"100"</f>
        <v>Объем: 0,24=24/100</v>
      </c>
    </row>
    <row r="103" spans="1:12" ht="14.25">
      <c r="A103" s="74"/>
      <c r="B103" s="75">
        <v>1</v>
      </c>
      <c r="C103" s="74" t="s">
        <v>522</v>
      </c>
      <c r="D103" s="56"/>
      <c r="E103" s="57"/>
      <c r="F103" s="57"/>
      <c r="G103" s="57"/>
      <c r="H103" s="49">
        <f>Source!AO69</f>
        <v>166.43</v>
      </c>
      <c r="I103" s="58"/>
      <c r="J103" s="49">
        <f>ROUND(Source!AF69*Source!I69,2)</f>
        <v>39.94</v>
      </c>
      <c r="K103" s="58">
        <f>IF(Source!BA69&lt;&gt;0,Source!BA69,1)</f>
        <v>37.34</v>
      </c>
      <c r="L103" s="49">
        <f>Source!S69</f>
        <v>1491.48</v>
      </c>
    </row>
    <row r="104" spans="1:12" ht="14.25">
      <c r="A104" s="74"/>
      <c r="B104" s="75">
        <v>3</v>
      </c>
      <c r="C104" s="74" t="s">
        <v>523</v>
      </c>
      <c r="D104" s="56"/>
      <c r="E104" s="57"/>
      <c r="F104" s="57"/>
      <c r="G104" s="57"/>
      <c r="H104" s="49">
        <f>Source!AM69</f>
        <v>567.97</v>
      </c>
      <c r="I104" s="58"/>
      <c r="J104" s="49">
        <f>ROUND((((Source!ET69)-(Source!EU69))+Source!AE69)*Source!I69,2)</f>
        <v>136.31</v>
      </c>
      <c r="K104" s="58">
        <f>IF(Source!BB69&lt;&gt;0,Source!BB69,1)</f>
        <v>13.24</v>
      </c>
      <c r="L104" s="49">
        <f>Source!Q69</f>
        <v>1804.78</v>
      </c>
    </row>
    <row r="105" spans="1:12" ht="14.25">
      <c r="A105" s="74"/>
      <c r="B105" s="75">
        <v>2</v>
      </c>
      <c r="C105" s="74" t="s">
        <v>524</v>
      </c>
      <c r="D105" s="56"/>
      <c r="E105" s="57"/>
      <c r="F105" s="57"/>
      <c r="G105" s="57"/>
      <c r="H105" s="49">
        <f>Source!AN69</f>
        <v>211.12</v>
      </c>
      <c r="I105" s="58"/>
      <c r="J105" s="59">
        <f>ROUND(Source!AE69*Source!I69,2)</f>
        <v>50.67</v>
      </c>
      <c r="K105" s="58">
        <f>IF(Source!BS69&lt;&gt;0,Source!BS69,1)</f>
        <v>37.34</v>
      </c>
      <c r="L105" s="59">
        <f>Source!R69</f>
        <v>1891.97</v>
      </c>
    </row>
    <row r="106" spans="1:12" ht="14.25">
      <c r="A106" s="74"/>
      <c r="B106" s="75">
        <v>4</v>
      </c>
      <c r="C106" s="74" t="s">
        <v>540</v>
      </c>
      <c r="D106" s="56"/>
      <c r="E106" s="57"/>
      <c r="F106" s="57"/>
      <c r="G106" s="57"/>
      <c r="H106" s="49">
        <f>Source!AL69</f>
        <v>1.08</v>
      </c>
      <c r="I106" s="58"/>
      <c r="J106" s="49">
        <f>ROUND(Source!AC69*Source!I69,2)</f>
        <v>0.26</v>
      </c>
      <c r="K106" s="58">
        <f>IF(Source!BC69&lt;&gt;0,Source!BC69,1)</f>
        <v>6.72</v>
      </c>
      <c r="L106" s="49">
        <f>Source!P69</f>
        <v>1.74</v>
      </c>
    </row>
    <row r="107" spans="1:12" ht="14.25">
      <c r="A107" s="74"/>
      <c r="B107" s="74"/>
      <c r="C107" s="74" t="s">
        <v>525</v>
      </c>
      <c r="D107" s="56" t="s">
        <v>526</v>
      </c>
      <c r="E107" s="57">
        <f>Source!AQ69</f>
        <v>17.3</v>
      </c>
      <c r="F107" s="57"/>
      <c r="G107" s="112">
        <f>ROUND(Source!U69,7)</f>
        <v>4.152</v>
      </c>
      <c r="H107" s="49"/>
      <c r="I107" s="58"/>
      <c r="J107" s="49"/>
      <c r="K107" s="58"/>
      <c r="L107" s="49"/>
    </row>
    <row r="108" spans="1:12" ht="14.25">
      <c r="A108" s="74"/>
      <c r="B108" s="74"/>
      <c r="C108" s="76" t="s">
        <v>527</v>
      </c>
      <c r="D108" s="60" t="s">
        <v>526</v>
      </c>
      <c r="E108" s="61">
        <f>Source!AR69</f>
        <v>18.2</v>
      </c>
      <c r="F108" s="61"/>
      <c r="G108" s="113">
        <f>ROUND(Source!V69,7)</f>
        <v>4.368</v>
      </c>
      <c r="H108" s="62"/>
      <c r="I108" s="63"/>
      <c r="J108" s="62"/>
      <c r="K108" s="63"/>
      <c r="L108" s="62"/>
    </row>
    <row r="109" spans="1:12" ht="14.25">
      <c r="A109" s="74"/>
      <c r="B109" s="74"/>
      <c r="C109" s="74" t="s">
        <v>528</v>
      </c>
      <c r="D109" s="56"/>
      <c r="E109" s="57"/>
      <c r="F109" s="57"/>
      <c r="G109" s="57"/>
      <c r="H109" s="49">
        <f>H103+H104+H106</f>
        <v>735.4800000000001</v>
      </c>
      <c r="I109" s="58"/>
      <c r="J109" s="49">
        <f>J103+J104+J106</f>
        <v>176.51</v>
      </c>
      <c r="K109" s="58"/>
      <c r="L109" s="49">
        <f>L103+L104+L106</f>
        <v>3298</v>
      </c>
    </row>
    <row r="110" spans="1:56" ht="37.5" customHeight="1">
      <c r="A110" s="74" t="s">
        <v>135</v>
      </c>
      <c r="B110" s="74" t="s">
        <v>544</v>
      </c>
      <c r="C110" s="74" t="str">
        <f>Source!G71</f>
        <v>Бур с ограничителем TE-C-HDA-B 22х155 для анкеров HDA</v>
      </c>
      <c r="D110" s="56" t="str">
        <f>Source!DW71</f>
        <v>ШТ</v>
      </c>
      <c r="E110" s="112">
        <f>SmtRes!AT128</f>
        <v>8.333333</v>
      </c>
      <c r="F110" s="57"/>
      <c r="G110" s="57">
        <f>Source!I71</f>
        <v>2</v>
      </c>
      <c r="H110" s="49">
        <f>Source!AL71+Source!AO71+Source!AM71</f>
        <v>839.32</v>
      </c>
      <c r="I110" s="58"/>
      <c r="J110" s="49">
        <f>ROUND(Source!AC71*Source!I71,2)+ROUND((((Source!ET71)-(Source!EU71))+Source!AE71)*Source!I71,2)+ROUND(Source!AF71*Source!I71,2)</f>
        <v>1678.64</v>
      </c>
      <c r="K110" s="58">
        <f>IF(Source!BC71&lt;&gt;0,Source!BC71,1)</f>
        <v>6.72</v>
      </c>
      <c r="L110" s="49">
        <f>Source!O71</f>
        <v>11280.46</v>
      </c>
      <c r="AF110" s="48">
        <f>J110</f>
        <v>1678.64</v>
      </c>
      <c r="AG110">
        <f>ROUND((Source!AT71/100)*((ROUND(Source!AF71*Source!I71,2)+ROUND(Source!AE71*Source!I71,2))),2)</f>
        <v>0</v>
      </c>
      <c r="AH110">
        <f>Source!X71</f>
        <v>0</v>
      </c>
      <c r="AI110">
        <f>ROUND((Source!AU71/100)*((ROUND(Source!AF71*Source!I71,2)+ROUND(Source!AE71*Source!I71,2))),2)</f>
        <v>0</v>
      </c>
      <c r="AJ110">
        <f>Source!Y71</f>
        <v>0</v>
      </c>
      <c r="AN110">
        <f>IF(Source!BI71&lt;=1,J110,0)</f>
        <v>1678.64</v>
      </c>
      <c r="AO110">
        <f>IF(Source!BI71&lt;=1,J110,0)</f>
        <v>1678.64</v>
      </c>
      <c r="AS110">
        <f>IF(Source!BI71&lt;=1,AH110,0)</f>
        <v>0</v>
      </c>
      <c r="AT110">
        <f>IF(Source!BI71&lt;=1,AJ110,0)</f>
        <v>0</v>
      </c>
      <c r="AX110">
        <f>IF(Source!BI71=2,J110,0)</f>
        <v>0</v>
      </c>
      <c r="AY110">
        <f>IF(Source!BI71=2,J110,0)</f>
        <v>0</v>
      </c>
      <c r="BC110">
        <f>IF(Source!BI71=2,AH110,0)</f>
        <v>0</v>
      </c>
      <c r="BD110">
        <f>IF(Source!BI71=2,AJ110,0)</f>
        <v>0</v>
      </c>
    </row>
    <row r="111" spans="1:12" ht="14.25">
      <c r="A111" s="74"/>
      <c r="B111" s="74"/>
      <c r="C111" s="74" t="s">
        <v>529</v>
      </c>
      <c r="D111" s="56"/>
      <c r="E111" s="57"/>
      <c r="F111" s="57"/>
      <c r="G111" s="57"/>
      <c r="H111" s="49"/>
      <c r="I111" s="58"/>
      <c r="J111" s="49">
        <f>SUM(Q100:Q114)+SUM(V100:V114)+SUM(X100:X114)+SUM(Y100:Y114)</f>
        <v>90.61</v>
      </c>
      <c r="K111" s="58"/>
      <c r="L111" s="49">
        <f>SUM(U100:U114)+SUM(W100:W114)+SUM(Z100:Z114)+SUM(AA100:AA114)</f>
        <v>3383.45</v>
      </c>
    </row>
    <row r="112" spans="1:12" ht="71.25">
      <c r="A112" s="74"/>
      <c r="B112" s="74" t="s">
        <v>133</v>
      </c>
      <c r="C112" s="74" t="s">
        <v>545</v>
      </c>
      <c r="D112" s="56" t="s">
        <v>531</v>
      </c>
      <c r="E112" s="57">
        <f>Source!BZ69</f>
        <v>103</v>
      </c>
      <c r="F112" s="57"/>
      <c r="G112" s="57">
        <f>Source!AT69</f>
        <v>103</v>
      </c>
      <c r="H112" s="49"/>
      <c r="I112" s="58"/>
      <c r="J112" s="49">
        <f>SUM(AG100:AG114)</f>
        <v>93.33</v>
      </c>
      <c r="K112" s="58"/>
      <c r="L112" s="49">
        <f>SUM(AH100:AH114)</f>
        <v>3484.95</v>
      </c>
    </row>
    <row r="113" spans="1:12" ht="71.25">
      <c r="A113" s="76"/>
      <c r="B113" s="76" t="s">
        <v>134</v>
      </c>
      <c r="C113" s="76" t="s">
        <v>546</v>
      </c>
      <c r="D113" s="60" t="s">
        <v>531</v>
      </c>
      <c r="E113" s="61">
        <f>Source!CA69</f>
        <v>59</v>
      </c>
      <c r="F113" s="61"/>
      <c r="G113" s="61">
        <f>Source!AU69</f>
        <v>59</v>
      </c>
      <c r="H113" s="62"/>
      <c r="I113" s="63"/>
      <c r="J113" s="62">
        <f>SUM(AI100:AI114)</f>
        <v>53.46</v>
      </c>
      <c r="K113" s="63"/>
      <c r="L113" s="62">
        <f>SUM(AJ100:AJ114)</f>
        <v>1996.24</v>
      </c>
    </row>
    <row r="114" spans="3:53" ht="15">
      <c r="C114" s="134" t="s">
        <v>533</v>
      </c>
      <c r="D114" s="134"/>
      <c r="E114" s="134"/>
      <c r="F114" s="134"/>
      <c r="G114" s="134"/>
      <c r="H114" s="134"/>
      <c r="I114" s="134">
        <f>J103+J104+J106+J112+J113+SUM(J110:J110)</f>
        <v>2001.94</v>
      </c>
      <c r="J114" s="134"/>
      <c r="K114" s="134">
        <f>L103+L104+L106+L112+L113+SUM(L110:L110)</f>
        <v>20059.65</v>
      </c>
      <c r="L114" s="134"/>
      <c r="O114" s="48">
        <f>I114</f>
        <v>2001.94</v>
      </c>
      <c r="P114" s="48">
        <f>K114</f>
        <v>20059.65</v>
      </c>
      <c r="Q114" s="48">
        <f>J103</f>
        <v>39.94</v>
      </c>
      <c r="R114" s="48">
        <f>J103</f>
        <v>39.94</v>
      </c>
      <c r="U114" s="48">
        <f>L103</f>
        <v>1491.48</v>
      </c>
      <c r="X114" s="48">
        <f>J105</f>
        <v>50.67</v>
      </c>
      <c r="Z114" s="48">
        <f>L105</f>
        <v>1891.97</v>
      </c>
      <c r="AB114" s="48">
        <f>J104</f>
        <v>136.31</v>
      </c>
      <c r="AD114" s="48">
        <f>L104</f>
        <v>1804.78</v>
      </c>
      <c r="AF114" s="48">
        <f>J106</f>
        <v>0.26</v>
      </c>
      <c r="AN114">
        <f>IF(Source!BI69&lt;=1,J103+J104+J106+J112+J113,0)</f>
        <v>323.29999999999995</v>
      </c>
      <c r="AO114">
        <f>IF(Source!BI69&lt;=1,J106,0)</f>
        <v>0.26</v>
      </c>
      <c r="AP114">
        <f>IF(Source!BI69&lt;=1,J104,0)</f>
        <v>136.31</v>
      </c>
      <c r="AQ114">
        <f>IF(Source!BI69&lt;=1,J103,0)</f>
        <v>39.94</v>
      </c>
      <c r="AX114">
        <f>IF(Source!BI69=2,J103+J104+J106+J112+J113,0)</f>
        <v>0</v>
      </c>
      <c r="AY114">
        <f>IF(Source!BI69=2,J106,0)</f>
        <v>0</v>
      </c>
      <c r="AZ114">
        <f>IF(Source!BI69=2,J104,0)</f>
        <v>0</v>
      </c>
      <c r="BA114">
        <f>IF(Source!BI69=2,J103,0)</f>
        <v>0</v>
      </c>
    </row>
    <row r="115" spans="1:56" ht="117.75">
      <c r="A115" s="74">
        <v>6</v>
      </c>
      <c r="B115" s="74" t="s">
        <v>535</v>
      </c>
      <c r="C115" s="74" t="s">
        <v>547</v>
      </c>
      <c r="D115" s="56" t="str">
        <f>Source!DW73</f>
        <v>т</v>
      </c>
      <c r="E115" s="57">
        <f>Source!K73</f>
        <v>0.012</v>
      </c>
      <c r="F115" s="57"/>
      <c r="G115" s="57">
        <f>Source!I73</f>
        <v>0.012</v>
      </c>
      <c r="H115" s="49"/>
      <c r="I115" s="58"/>
      <c r="J115" s="49"/>
      <c r="K115" s="58"/>
      <c r="L115" s="49"/>
      <c r="AG115">
        <f>ROUND((Source!AT73/100)*((ROUND(Source!AF73*Source!I73,2)+ROUND(Source!AE73*Source!I73,2))),2)</f>
        <v>36.16</v>
      </c>
      <c r="AH115">
        <f>Source!X73</f>
        <v>1350</v>
      </c>
      <c r="AI115">
        <f>ROUND((Source!AU73/100)*((ROUND(Source!AF73*Source!I73,2)+ROUND(Source!AE73*Source!I73,2))),2)</f>
        <v>17.48</v>
      </c>
      <c r="AJ115">
        <f>Source!Y73</f>
        <v>652.5</v>
      </c>
      <c r="AS115">
        <f>IF(Source!BI73&lt;=1,AH115,0)</f>
        <v>1350</v>
      </c>
      <c r="AT115">
        <f>IF(Source!BI73&lt;=1,AJ115,0)</f>
        <v>652.5</v>
      </c>
      <c r="BC115">
        <f>IF(Source!BI73=2,AH115,0)</f>
        <v>0</v>
      </c>
      <c r="BD115">
        <f>IF(Source!BI73=2,AJ115,0)</f>
        <v>0</v>
      </c>
    </row>
    <row r="116" ht="38.25">
      <c r="B116" s="45" t="str">
        <f>Source!EO73</f>
        <v>Поправка: М-ка 421/пр 04.08.20 п.58 п.п. б)</v>
      </c>
    </row>
    <row r="117" spans="1:12" ht="14.25">
      <c r="A117" s="74"/>
      <c r="B117" s="75">
        <v>1</v>
      </c>
      <c r="C117" s="74" t="s">
        <v>522</v>
      </c>
      <c r="D117" s="56"/>
      <c r="E117" s="57"/>
      <c r="F117" s="57"/>
      <c r="G117" s="57"/>
      <c r="H117" s="49">
        <f>Source!AO73</f>
        <v>2560.54</v>
      </c>
      <c r="I117" s="58">
        <f>ROUND(1.15,7)</f>
        <v>1.15</v>
      </c>
      <c r="J117" s="49">
        <f>ROUND(Source!AF73*Source!I73,2)</f>
        <v>35.34</v>
      </c>
      <c r="K117" s="58">
        <f>IF(Source!BA73&lt;&gt;0,Source!BA73,1)</f>
        <v>37.34</v>
      </c>
      <c r="L117" s="49">
        <f>Source!S73</f>
        <v>1319.43</v>
      </c>
    </row>
    <row r="118" spans="1:12" ht="14.25">
      <c r="A118" s="74"/>
      <c r="B118" s="75">
        <v>3</v>
      </c>
      <c r="C118" s="74" t="s">
        <v>523</v>
      </c>
      <c r="D118" s="56"/>
      <c r="E118" s="57"/>
      <c r="F118" s="57"/>
      <c r="G118" s="57"/>
      <c r="H118" s="49">
        <f>Source!AM73</f>
        <v>51.19</v>
      </c>
      <c r="I118" s="58">
        <f>ROUND(1.25,7)</f>
        <v>1.25</v>
      </c>
      <c r="J118" s="49">
        <f>ROUND(((((Source!ET73*ROUND(1.25,7)))-((Source!EU73*ROUND(1.25,7))))+Source!AE73)*Source!I73,2)</f>
        <v>0.77</v>
      </c>
      <c r="K118" s="58">
        <f>IF(Source!BB73&lt;&gt;0,Source!BB73,1)</f>
        <v>13.24</v>
      </c>
      <c r="L118" s="49">
        <f>Source!Q73</f>
        <v>10.17</v>
      </c>
    </row>
    <row r="119" spans="1:12" ht="14.25">
      <c r="A119" s="74"/>
      <c r="B119" s="75">
        <v>2</v>
      </c>
      <c r="C119" s="74" t="s">
        <v>524</v>
      </c>
      <c r="D119" s="56"/>
      <c r="E119" s="57"/>
      <c r="F119" s="57"/>
      <c r="G119" s="57"/>
      <c r="H119" s="49">
        <f>Source!AN73</f>
        <v>7.32</v>
      </c>
      <c r="I119" s="58">
        <f>ROUND(1.25,7)</f>
        <v>1.25</v>
      </c>
      <c r="J119" s="59">
        <f>ROUND(Source!AE73*Source!I73,2)</f>
        <v>0.11</v>
      </c>
      <c r="K119" s="58">
        <f>IF(Source!BS73&lt;&gt;0,Source!BS73,1)</f>
        <v>37.34</v>
      </c>
      <c r="L119" s="59">
        <f>Source!R73</f>
        <v>4.1</v>
      </c>
    </row>
    <row r="120" spans="1:12" ht="14.25">
      <c r="A120" s="74"/>
      <c r="B120" s="75">
        <v>4</v>
      </c>
      <c r="C120" s="74" t="s">
        <v>540</v>
      </c>
      <c r="D120" s="56"/>
      <c r="E120" s="57"/>
      <c r="F120" s="57"/>
      <c r="G120" s="57"/>
      <c r="H120" s="49">
        <f>Source!AL73</f>
        <v>10103.46</v>
      </c>
      <c r="I120" s="58"/>
      <c r="J120" s="49">
        <f>ROUND(Source!AC73*Source!I73,2)</f>
        <v>121.24</v>
      </c>
      <c r="K120" s="58">
        <f>IF(Source!BC73&lt;&gt;0,Source!BC73,1)</f>
        <v>6.72</v>
      </c>
      <c r="L120" s="49">
        <f>Source!P73</f>
        <v>814.74</v>
      </c>
    </row>
    <row r="121" spans="1:12" ht="14.25">
      <c r="A121" s="74"/>
      <c r="B121" s="74"/>
      <c r="C121" s="74" t="s">
        <v>525</v>
      </c>
      <c r="D121" s="56" t="s">
        <v>526</v>
      </c>
      <c r="E121" s="57">
        <f>Source!AQ73</f>
        <v>289</v>
      </c>
      <c r="F121" s="57">
        <f>ROUND(1.15,7)</f>
        <v>1.15</v>
      </c>
      <c r="G121" s="112">
        <f>ROUND(Source!U73,7)</f>
        <v>3.9882</v>
      </c>
      <c r="H121" s="49"/>
      <c r="I121" s="58"/>
      <c r="J121" s="49"/>
      <c r="K121" s="58"/>
      <c r="L121" s="49"/>
    </row>
    <row r="122" spans="1:12" ht="14.25">
      <c r="A122" s="74"/>
      <c r="B122" s="74"/>
      <c r="C122" s="76" t="s">
        <v>527</v>
      </c>
      <c r="D122" s="60" t="s">
        <v>526</v>
      </c>
      <c r="E122" s="61">
        <f>Source!AR73</f>
        <v>0.59</v>
      </c>
      <c r="F122" s="61">
        <f>ROUND(1.25,7)</f>
        <v>1.25</v>
      </c>
      <c r="G122" s="113">
        <f>ROUND(Source!V73,7)</f>
        <v>0.00885</v>
      </c>
      <c r="H122" s="62"/>
      <c r="I122" s="63"/>
      <c r="J122" s="62"/>
      <c r="K122" s="63"/>
      <c r="L122" s="62"/>
    </row>
    <row r="123" spans="1:12" ht="14.25">
      <c r="A123" s="74"/>
      <c r="B123" s="74"/>
      <c r="C123" s="74" t="s">
        <v>528</v>
      </c>
      <c r="D123" s="56"/>
      <c r="E123" s="57"/>
      <c r="F123" s="57"/>
      <c r="G123" s="57"/>
      <c r="H123" s="49">
        <f>H117+H118+H120</f>
        <v>12715.189999999999</v>
      </c>
      <c r="I123" s="58"/>
      <c r="J123" s="49">
        <f>J117+J118+J120</f>
        <v>157.35</v>
      </c>
      <c r="K123" s="58"/>
      <c r="L123" s="49">
        <f>L117+L118+L120</f>
        <v>2144.34</v>
      </c>
    </row>
    <row r="124" spans="1:12" ht="14.25">
      <c r="A124" s="74"/>
      <c r="B124" s="74"/>
      <c r="C124" s="74" t="s">
        <v>529</v>
      </c>
      <c r="D124" s="56"/>
      <c r="E124" s="57"/>
      <c r="F124" s="57"/>
      <c r="G124" s="57"/>
      <c r="H124" s="49"/>
      <c r="I124" s="58"/>
      <c r="J124" s="49">
        <f>SUM(Q115:Q127)+SUM(V115:V127)+SUM(X115:X127)+SUM(Y115:Y127)</f>
        <v>35.45</v>
      </c>
      <c r="K124" s="58"/>
      <c r="L124" s="49">
        <f>SUM(U115:U127)+SUM(W115:W127)+SUM(Z115:Z127)+SUM(AA115:AA127)</f>
        <v>1323.53</v>
      </c>
    </row>
    <row r="125" spans="1:12" ht="42.75">
      <c r="A125" s="74"/>
      <c r="B125" s="74" t="s">
        <v>104</v>
      </c>
      <c r="C125" s="74" t="s">
        <v>537</v>
      </c>
      <c r="D125" s="56" t="s">
        <v>531</v>
      </c>
      <c r="E125" s="57">
        <f>Source!BZ73</f>
        <v>102</v>
      </c>
      <c r="F125" s="57"/>
      <c r="G125" s="57">
        <f>Source!AT73</f>
        <v>102</v>
      </c>
      <c r="H125" s="49"/>
      <c r="I125" s="58"/>
      <c r="J125" s="49">
        <f>SUM(AG115:AG127)</f>
        <v>36.16</v>
      </c>
      <c r="K125" s="58"/>
      <c r="L125" s="49">
        <f>SUM(AH115:AH127)</f>
        <v>1350</v>
      </c>
    </row>
    <row r="126" spans="1:12" ht="42.75">
      <c r="A126" s="76"/>
      <c r="B126" s="76" t="s">
        <v>548</v>
      </c>
      <c r="C126" s="76" t="s">
        <v>538</v>
      </c>
      <c r="D126" s="60" t="s">
        <v>531</v>
      </c>
      <c r="E126" s="61">
        <f>Source!CA73</f>
        <v>58</v>
      </c>
      <c r="F126" s="61">
        <f>ROUND(0.85,7)</f>
        <v>0.85</v>
      </c>
      <c r="G126" s="61">
        <f>Source!AU73</f>
        <v>49.3</v>
      </c>
      <c r="H126" s="62"/>
      <c r="I126" s="63"/>
      <c r="J126" s="62">
        <f>SUM(AI115:AI127)</f>
        <v>17.48</v>
      </c>
      <c r="K126" s="63"/>
      <c r="L126" s="62">
        <f>SUM(AJ115:AJ127)</f>
        <v>652.5</v>
      </c>
    </row>
    <row r="127" spans="3:53" ht="15">
      <c r="C127" s="134" t="s">
        <v>533</v>
      </c>
      <c r="D127" s="134"/>
      <c r="E127" s="134"/>
      <c r="F127" s="134"/>
      <c r="G127" s="134"/>
      <c r="H127" s="134"/>
      <c r="I127" s="134">
        <f>J117+J118+J120+J125+J126</f>
        <v>210.98999999999998</v>
      </c>
      <c r="J127" s="134"/>
      <c r="K127" s="134">
        <f>L117+L118+L120+L125+L126</f>
        <v>4146.84</v>
      </c>
      <c r="L127" s="134"/>
      <c r="O127" s="48">
        <f>I127</f>
        <v>210.98999999999998</v>
      </c>
      <c r="P127" s="48">
        <f>K127</f>
        <v>4146.84</v>
      </c>
      <c r="Q127" s="48">
        <f>J117</f>
        <v>35.34</v>
      </c>
      <c r="R127" s="48">
        <f>J117</f>
        <v>35.34</v>
      </c>
      <c r="U127" s="48">
        <f>L117</f>
        <v>1319.43</v>
      </c>
      <c r="X127" s="48">
        <f>J119</f>
        <v>0.11</v>
      </c>
      <c r="Z127" s="48">
        <f>L119</f>
        <v>4.1</v>
      </c>
      <c r="AB127" s="48">
        <f>J118</f>
        <v>0.77</v>
      </c>
      <c r="AD127" s="48">
        <f>L118</f>
        <v>10.17</v>
      </c>
      <c r="AF127" s="48">
        <f>J120</f>
        <v>121.24</v>
      </c>
      <c r="AN127">
        <f>IF(Source!BI73&lt;=1,J117+J118+J120+J125+J126,0)</f>
        <v>210.98999999999998</v>
      </c>
      <c r="AO127">
        <f>IF(Source!BI73&lt;=1,J120,0)</f>
        <v>121.24</v>
      </c>
      <c r="AP127">
        <f>IF(Source!BI73&lt;=1,J118,0)</f>
        <v>0.77</v>
      </c>
      <c r="AQ127">
        <f>IF(Source!BI73&lt;=1,J117,0)</f>
        <v>35.34</v>
      </c>
      <c r="AX127">
        <f>IF(Source!BI73=2,J117+J118+J120+J125+J126,0)</f>
        <v>0</v>
      </c>
      <c r="AY127">
        <f>IF(Source!BI73=2,J120,0)</f>
        <v>0</v>
      </c>
      <c r="AZ127">
        <f>IF(Source!BI73=2,J118,0)</f>
        <v>0</v>
      </c>
      <c r="BA127">
        <f>IF(Source!BI73=2,J117,0)</f>
        <v>0</v>
      </c>
    </row>
    <row r="128" spans="1:56" ht="132">
      <c r="A128" s="74">
        <v>7</v>
      </c>
      <c r="B128" s="74" t="s">
        <v>520</v>
      </c>
      <c r="C128" s="74" t="s">
        <v>549</v>
      </c>
      <c r="D128" s="56" t="str">
        <f>Source!DW75</f>
        <v>100 м2</v>
      </c>
      <c r="E128" s="57">
        <f>Source!K75</f>
        <v>0.42</v>
      </c>
      <c r="F128" s="57"/>
      <c r="G128" s="57">
        <f>Source!I75</f>
        <v>0.42</v>
      </c>
      <c r="H128" s="49"/>
      <c r="I128" s="58"/>
      <c r="J128" s="49"/>
      <c r="K128" s="58"/>
      <c r="L128" s="49"/>
      <c r="AG128">
        <f>ROUND((Source!AT75/100)*((ROUND(Source!AF75*Source!I75,2)+ROUND(Source!AE75*Source!I75,2))),2)</f>
        <v>1362.71</v>
      </c>
      <c r="AH128">
        <f>Source!X75</f>
        <v>50883.42</v>
      </c>
      <c r="AI128">
        <f>ROUND((Source!AU75/100)*((ROUND(Source!AF75*Source!I75,2)+ROUND(Source!AE75*Source!I75,2))),2)</f>
        <v>772.2</v>
      </c>
      <c r="AJ128">
        <f>Source!Y75</f>
        <v>28833.94</v>
      </c>
      <c r="AS128">
        <f>IF(Source!BI75&lt;=1,AH128,0)</f>
        <v>50883.42</v>
      </c>
      <c r="AT128">
        <f>IF(Source!BI75&lt;=1,AJ128,0)</f>
        <v>28833.94</v>
      </c>
      <c r="BC128">
        <f>IF(Source!BI75=2,AH128,0)</f>
        <v>0</v>
      </c>
      <c r="BD128">
        <f>IF(Source!BI75=2,AJ128,0)</f>
        <v>0</v>
      </c>
    </row>
    <row r="129" ht="38.25">
      <c r="B129" s="45" t="str">
        <f>Source!EO75</f>
        <v>Поправка: М-ка 421/пр 04.08.20 п.58 п.п. б)</v>
      </c>
    </row>
    <row r="130" ht="12.75">
      <c r="C130" s="46" t="str">
        <f>"Объем: "&amp;Source!K75&amp;"=42/"&amp;"100"</f>
        <v>Объем: 0,42=42/100</v>
      </c>
    </row>
    <row r="131" spans="1:12" ht="14.25">
      <c r="A131" s="74"/>
      <c r="B131" s="75">
        <v>1</v>
      </c>
      <c r="C131" s="74" t="s">
        <v>522</v>
      </c>
      <c r="D131" s="56"/>
      <c r="E131" s="57"/>
      <c r="F131" s="57"/>
      <c r="G131" s="57"/>
      <c r="H131" s="49">
        <f>Source!AO75</f>
        <v>2997.88</v>
      </c>
      <c r="I131" s="58">
        <f>ROUND(1.15,7)</f>
        <v>1.15</v>
      </c>
      <c r="J131" s="49">
        <f>ROUND(Source!AF75*Source!I75,2)</f>
        <v>1447.98</v>
      </c>
      <c r="K131" s="58">
        <f>IF(Source!BA75&lt;&gt;0,Source!BA75,1)</f>
        <v>37.34</v>
      </c>
      <c r="L131" s="49">
        <f>Source!S75</f>
        <v>54067.39</v>
      </c>
    </row>
    <row r="132" spans="1:12" ht="14.25">
      <c r="A132" s="74"/>
      <c r="B132" s="75">
        <v>3</v>
      </c>
      <c r="C132" s="74" t="s">
        <v>523</v>
      </c>
      <c r="D132" s="56"/>
      <c r="E132" s="57"/>
      <c r="F132" s="57"/>
      <c r="G132" s="57"/>
      <c r="H132" s="49">
        <f>Source!AM75</f>
        <v>575.19</v>
      </c>
      <c r="I132" s="58">
        <f>ROUND(1.25,7)</f>
        <v>1.25</v>
      </c>
      <c r="J132" s="49">
        <f>ROUND(((((Source!ET75*ROUND(1.25,7)))-((Source!EU75*ROUND(1.25,7))))+Source!AE75)*Source!I75,2)</f>
        <v>301.98</v>
      </c>
      <c r="K132" s="58">
        <f>IF(Source!BB75&lt;&gt;0,Source!BB75,1)</f>
        <v>13.24</v>
      </c>
      <c r="L132" s="49">
        <f>Source!Q75</f>
        <v>3998.18</v>
      </c>
    </row>
    <row r="133" spans="1:12" ht="14.25">
      <c r="A133" s="74"/>
      <c r="B133" s="75">
        <v>2</v>
      </c>
      <c r="C133" s="74" t="s">
        <v>524</v>
      </c>
      <c r="D133" s="56"/>
      <c r="E133" s="57"/>
      <c r="F133" s="57"/>
      <c r="G133" s="57"/>
      <c r="H133" s="49">
        <f>Source!AN75</f>
        <v>32.95</v>
      </c>
      <c r="I133" s="58">
        <f>ROUND(1.25,7)</f>
        <v>1.25</v>
      </c>
      <c r="J133" s="59">
        <f>ROUND(Source!AE75*Source!I75,2)</f>
        <v>17.3</v>
      </c>
      <c r="K133" s="58">
        <f>IF(Source!BS75&lt;&gt;0,Source!BS75,1)</f>
        <v>37.34</v>
      </c>
      <c r="L133" s="59">
        <f>Source!R75</f>
        <v>645.97</v>
      </c>
    </row>
    <row r="134" spans="1:12" ht="14.25">
      <c r="A134" s="74"/>
      <c r="B134" s="75">
        <v>4</v>
      </c>
      <c r="C134" s="74" t="s">
        <v>540</v>
      </c>
      <c r="D134" s="56"/>
      <c r="E134" s="57"/>
      <c r="F134" s="57"/>
      <c r="G134" s="57"/>
      <c r="H134" s="49">
        <f>Source!AL75</f>
        <v>275.88</v>
      </c>
      <c r="I134" s="58"/>
      <c r="J134" s="49">
        <f>ROUND(Source!AC75*Source!I75,2)</f>
        <v>115.87</v>
      </c>
      <c r="K134" s="58">
        <f>IF(Source!BC75&lt;&gt;0,Source!BC75,1)</f>
        <v>6.72</v>
      </c>
      <c r="L134" s="49">
        <f>Source!P75</f>
        <v>778.64</v>
      </c>
    </row>
    <row r="135" spans="1:12" ht="14.25">
      <c r="A135" s="74"/>
      <c r="B135" s="74"/>
      <c r="C135" s="74" t="s">
        <v>525</v>
      </c>
      <c r="D135" s="56" t="s">
        <v>526</v>
      </c>
      <c r="E135" s="57">
        <f>Source!AQ75</f>
        <v>298</v>
      </c>
      <c r="F135" s="57">
        <f>ROUND(1.15,7)</f>
        <v>1.15</v>
      </c>
      <c r="G135" s="57">
        <f>ROUND(Source!U75,7)</f>
        <v>143.934</v>
      </c>
      <c r="H135" s="49"/>
      <c r="I135" s="58"/>
      <c r="J135" s="49"/>
      <c r="K135" s="58"/>
      <c r="L135" s="49"/>
    </row>
    <row r="136" spans="1:12" ht="14.25">
      <c r="A136" s="74"/>
      <c r="B136" s="74"/>
      <c r="C136" s="76" t="s">
        <v>527</v>
      </c>
      <c r="D136" s="60" t="s">
        <v>526</v>
      </c>
      <c r="E136" s="61">
        <f>Source!AR75</f>
        <v>2.48</v>
      </c>
      <c r="F136" s="61">
        <f>ROUND(1.25,7)</f>
        <v>1.25</v>
      </c>
      <c r="G136" s="61">
        <f>ROUND(Source!V75,7)</f>
        <v>1.302</v>
      </c>
      <c r="H136" s="62"/>
      <c r="I136" s="63"/>
      <c r="J136" s="62"/>
      <c r="K136" s="63"/>
      <c r="L136" s="62"/>
    </row>
    <row r="137" spans="1:12" ht="14.25">
      <c r="A137" s="74"/>
      <c r="B137" s="74"/>
      <c r="C137" s="74" t="s">
        <v>528</v>
      </c>
      <c r="D137" s="56"/>
      <c r="E137" s="57"/>
      <c r="F137" s="57"/>
      <c r="G137" s="57"/>
      <c r="H137" s="49">
        <f>H131+H132+H134</f>
        <v>3848.9500000000003</v>
      </c>
      <c r="I137" s="58"/>
      <c r="J137" s="49">
        <f>J131+J132+J134</f>
        <v>1865.83</v>
      </c>
      <c r="K137" s="58"/>
      <c r="L137" s="49">
        <f>L131+L132+L134</f>
        <v>58844.21</v>
      </c>
    </row>
    <row r="138" spans="1:56" ht="105.75" customHeight="1">
      <c r="A138" s="74" t="s">
        <v>143</v>
      </c>
      <c r="B138" s="74" t="s">
        <v>144</v>
      </c>
      <c r="C138" s="74" t="str">
        <f>Source!G77</f>
        <v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v>
      </c>
      <c r="D138" s="56" t="str">
        <f>Source!DW77</f>
        <v>м2</v>
      </c>
      <c r="E138" s="57">
        <f>SmtRes!AT161</f>
        <v>100</v>
      </c>
      <c r="F138" s="57"/>
      <c r="G138" s="57">
        <f>Source!I77</f>
        <v>42</v>
      </c>
      <c r="H138" s="49">
        <f>Source!AL77+Source!AO77+Source!AM77</f>
        <v>27560</v>
      </c>
      <c r="I138" s="58"/>
      <c r="J138" s="49">
        <f>ROUND(Source!AC77*Source!I77,2)+ROUND((((Source!ET77)-(Source!EU77))+Source!AE77)*Source!I77,2)+ROUND(Source!AF77*Source!I77,2)</f>
        <v>1157520</v>
      </c>
      <c r="K138" s="58">
        <v>1</v>
      </c>
      <c r="L138" s="49">
        <f>J138*K138</f>
        <v>1157520</v>
      </c>
      <c r="AF138" s="48">
        <f>J138</f>
        <v>1157520</v>
      </c>
      <c r="AG138">
        <f>ROUND((Source!AT77/100)*((ROUND(Source!AF77*Source!I77,2)+ROUND(Source!AE77*Source!I77,2))),2)</f>
        <v>0</v>
      </c>
      <c r="AH138">
        <f>Source!X77</f>
        <v>0</v>
      </c>
      <c r="AI138">
        <f>ROUND((Source!AU77/100)*((ROUND(Source!AF77*Source!I77,2)+ROUND(Source!AE77*Source!I77,2))),2)</f>
        <v>0</v>
      </c>
      <c r="AJ138">
        <f>Source!Y77</f>
        <v>0</v>
      </c>
      <c r="AN138">
        <f>IF(Source!BI77&lt;=1,J138,0)</f>
        <v>1157520</v>
      </c>
      <c r="AO138">
        <f>IF(Source!BI77&lt;=1,J138,0)</f>
        <v>1157520</v>
      </c>
      <c r="AS138">
        <f>IF(Source!BI77&lt;=1,AH138,0)</f>
        <v>0</v>
      </c>
      <c r="AT138">
        <f>IF(Source!BI77&lt;=1,AJ138,0)</f>
        <v>0</v>
      </c>
      <c r="AX138">
        <f>IF(Source!BI77=2,J138,0)</f>
        <v>0</v>
      </c>
      <c r="AY138">
        <f>IF(Source!BI77=2,J138,0)</f>
        <v>0</v>
      </c>
      <c r="BC138">
        <f>IF(Source!BI77=2,AH138,0)</f>
        <v>0</v>
      </c>
      <c r="BD138">
        <f>IF(Source!BI77=2,AJ138,0)</f>
        <v>0</v>
      </c>
    </row>
    <row r="139" spans="1:56" ht="28.5">
      <c r="A139" s="74" t="s">
        <v>148</v>
      </c>
      <c r="B139" s="74" t="s">
        <v>144</v>
      </c>
      <c r="C139" s="74" t="str">
        <f>Source!G79</f>
        <v>Монтажные комплектующие</v>
      </c>
      <c r="D139" s="56" t="str">
        <f>Source!DW79</f>
        <v>КОМПЛ</v>
      </c>
      <c r="E139" s="112">
        <f>SmtRes!AT162</f>
        <v>2.380952</v>
      </c>
      <c r="F139" s="57"/>
      <c r="G139" s="57">
        <f>Source!I79</f>
        <v>1</v>
      </c>
      <c r="H139" s="49">
        <f>Source!AL79+Source!AO79+Source!AM79</f>
        <v>73547</v>
      </c>
      <c r="I139" s="58"/>
      <c r="J139" s="49">
        <f>ROUND(Source!AC79*Source!I79,2)+ROUND((((Source!ET79)-(Source!EU79))+Source!AE79)*Source!I79,2)+ROUND(Source!AF79*Source!I79,2)</f>
        <v>73547</v>
      </c>
      <c r="K139" s="58">
        <v>1</v>
      </c>
      <c r="L139" s="49">
        <f>J139*K139</f>
        <v>73547</v>
      </c>
      <c r="AF139" s="48">
        <f>J139</f>
        <v>73547</v>
      </c>
      <c r="AG139">
        <f>ROUND((Source!AT79/100)*((ROUND(Source!AF79*Source!I79,2)+ROUND(Source!AE79*Source!I79,2))),2)</f>
        <v>0</v>
      </c>
      <c r="AH139">
        <f>Source!X79</f>
        <v>0</v>
      </c>
      <c r="AI139">
        <f>ROUND((Source!AU79/100)*((ROUND(Source!AF79*Source!I79,2)+ROUND(Source!AE79*Source!I79,2))),2)</f>
        <v>0</v>
      </c>
      <c r="AJ139">
        <f>Source!Y79</f>
        <v>0</v>
      </c>
      <c r="AN139">
        <f>IF(Source!BI79&lt;=1,J139,0)</f>
        <v>73547</v>
      </c>
      <c r="AO139">
        <f>IF(Source!BI79&lt;=1,J139,0)</f>
        <v>73547</v>
      </c>
      <c r="AS139">
        <f>IF(Source!BI79&lt;=1,AH139,0)</f>
        <v>0</v>
      </c>
      <c r="AT139">
        <f>IF(Source!BI79&lt;=1,AJ139,0)</f>
        <v>0</v>
      </c>
      <c r="AX139">
        <f>IF(Source!BI79=2,J139,0)</f>
        <v>0</v>
      </c>
      <c r="AY139">
        <f>IF(Source!BI79=2,J139,0)</f>
        <v>0</v>
      </c>
      <c r="BC139">
        <f>IF(Source!BI79=2,AH139,0)</f>
        <v>0</v>
      </c>
      <c r="BD139">
        <f>IF(Source!BI79=2,AJ139,0)</f>
        <v>0</v>
      </c>
    </row>
    <row r="140" spans="1:12" ht="14.25">
      <c r="A140" s="74"/>
      <c r="B140" s="74"/>
      <c r="C140" s="74" t="s">
        <v>529</v>
      </c>
      <c r="D140" s="56"/>
      <c r="E140" s="57"/>
      <c r="F140" s="57"/>
      <c r="G140" s="57"/>
      <c r="H140" s="49"/>
      <c r="I140" s="58"/>
      <c r="J140" s="49">
        <f>SUM(Q128:Q143)+SUM(V128:V143)+SUM(X128:X143)+SUM(Y128:Y143)</f>
        <v>1465.28</v>
      </c>
      <c r="K140" s="58"/>
      <c r="L140" s="49">
        <f>SUM(U128:U143)+SUM(W128:W143)+SUM(Z128:Z143)+SUM(AA128:AA143)</f>
        <v>54713.36</v>
      </c>
    </row>
    <row r="141" spans="1:12" ht="28.5">
      <c r="A141" s="74"/>
      <c r="B141" s="74" t="s">
        <v>35</v>
      </c>
      <c r="C141" s="74" t="s">
        <v>530</v>
      </c>
      <c r="D141" s="56" t="s">
        <v>531</v>
      </c>
      <c r="E141" s="57">
        <f>Source!BZ75</f>
        <v>93</v>
      </c>
      <c r="F141" s="57"/>
      <c r="G141" s="57">
        <f>Source!AT75</f>
        <v>93</v>
      </c>
      <c r="H141" s="49"/>
      <c r="I141" s="58"/>
      <c r="J141" s="49">
        <f>SUM(AG128:AG143)</f>
        <v>1362.71</v>
      </c>
      <c r="K141" s="58"/>
      <c r="L141" s="49">
        <f>SUM(AH128:AH143)</f>
        <v>50883.42</v>
      </c>
    </row>
    <row r="142" spans="1:12" ht="28.5">
      <c r="A142" s="76"/>
      <c r="B142" s="76" t="s">
        <v>542</v>
      </c>
      <c r="C142" s="76" t="s">
        <v>532</v>
      </c>
      <c r="D142" s="60" t="s">
        <v>531</v>
      </c>
      <c r="E142" s="61">
        <f>Source!CA75</f>
        <v>62</v>
      </c>
      <c r="F142" s="61">
        <f>ROUND(0.85,7)</f>
        <v>0.85</v>
      </c>
      <c r="G142" s="61">
        <f>Source!AU75</f>
        <v>52.7</v>
      </c>
      <c r="H142" s="62"/>
      <c r="I142" s="63"/>
      <c r="J142" s="62">
        <f>SUM(AI128:AI143)</f>
        <v>772.2</v>
      </c>
      <c r="K142" s="63"/>
      <c r="L142" s="62">
        <f>SUM(AJ128:AJ143)</f>
        <v>28833.94</v>
      </c>
    </row>
    <row r="143" spans="3:53" ht="15">
      <c r="C143" s="134" t="s">
        <v>533</v>
      </c>
      <c r="D143" s="134"/>
      <c r="E143" s="134"/>
      <c r="F143" s="134"/>
      <c r="G143" s="134"/>
      <c r="H143" s="134"/>
      <c r="I143" s="134">
        <f>J131+J132+J134+J141+J142+SUM(J138:J139)</f>
        <v>1235067.74</v>
      </c>
      <c r="J143" s="134"/>
      <c r="K143" s="134">
        <f>L131+L132+L134+L141+L142+SUM(L138:L139)</f>
        <v>1369628.57</v>
      </c>
      <c r="L143" s="134"/>
      <c r="O143" s="48">
        <f>I143</f>
        <v>1235067.74</v>
      </c>
      <c r="P143" s="48">
        <f>K143</f>
        <v>1369628.57</v>
      </c>
      <c r="Q143" s="48">
        <f>J131</f>
        <v>1447.98</v>
      </c>
      <c r="R143" s="48">
        <f>J131</f>
        <v>1447.98</v>
      </c>
      <c r="U143" s="48">
        <f>L131</f>
        <v>54067.39</v>
      </c>
      <c r="X143" s="48">
        <f>J133</f>
        <v>17.3</v>
      </c>
      <c r="Z143" s="48">
        <f>L133</f>
        <v>645.97</v>
      </c>
      <c r="AB143" s="48">
        <f>J132</f>
        <v>301.98</v>
      </c>
      <c r="AD143" s="48">
        <f>L132</f>
        <v>3998.18</v>
      </c>
      <c r="AF143" s="48">
        <f>J134</f>
        <v>115.87</v>
      </c>
      <c r="AN143">
        <f>IF(Source!BI75&lt;=1,J131+J132+J134+J141+J142,0)</f>
        <v>4000.74</v>
      </c>
      <c r="AO143">
        <f>IF(Source!BI75&lt;=1,J134,0)</f>
        <v>115.87</v>
      </c>
      <c r="AP143">
        <f>IF(Source!BI75&lt;=1,J132,0)</f>
        <v>301.98</v>
      </c>
      <c r="AQ143">
        <f>IF(Source!BI75&lt;=1,J131,0)</f>
        <v>1447.98</v>
      </c>
      <c r="AX143">
        <f>IF(Source!BI75=2,J131+J132+J134+J141+J142,0)</f>
        <v>0</v>
      </c>
      <c r="AY143">
        <f>IF(Source!BI75=2,J134,0)</f>
        <v>0</v>
      </c>
      <c r="AZ143">
        <f>IF(Source!BI75=2,J132,0)</f>
        <v>0</v>
      </c>
      <c r="BA143">
        <f>IF(Source!BI75=2,J131,0)</f>
        <v>0</v>
      </c>
    </row>
    <row r="144" spans="1:56" ht="103.5">
      <c r="A144" s="74">
        <v>8</v>
      </c>
      <c r="B144" s="74" t="s">
        <v>550</v>
      </c>
      <c r="C144" s="74" t="s">
        <v>551</v>
      </c>
      <c r="D144" s="56" t="str">
        <f>Source!DW81</f>
        <v>100 м</v>
      </c>
      <c r="E144" s="57">
        <f>Source!K81</f>
        <v>0.72</v>
      </c>
      <c r="F144" s="57"/>
      <c r="G144" s="57">
        <f>Source!I81</f>
        <v>0.72</v>
      </c>
      <c r="H144" s="49"/>
      <c r="I144" s="58"/>
      <c r="J144" s="49"/>
      <c r="K144" s="58"/>
      <c r="L144" s="49"/>
      <c r="AG144">
        <f>ROUND((Source!AT81/100)*((ROUND(Source!AF81*Source!I81,2)+ROUND(Source!AE81*Source!I81,2))),2)</f>
        <v>231.18</v>
      </c>
      <c r="AH144">
        <f>Source!X81</f>
        <v>8632.24</v>
      </c>
      <c r="AI144">
        <f>ROUND((Source!AU81/100)*((ROUND(Source!AF81*Source!I81,2)+ROUND(Source!AE81*Source!I81,2))),2)</f>
        <v>131</v>
      </c>
      <c r="AJ144">
        <f>Source!Y81</f>
        <v>4891.6</v>
      </c>
      <c r="AS144">
        <f>IF(Source!BI81&lt;=1,AH144,0)</f>
        <v>8632.24</v>
      </c>
      <c r="AT144">
        <f>IF(Source!BI81&lt;=1,AJ144,0)</f>
        <v>4891.6</v>
      </c>
      <c r="BC144">
        <f>IF(Source!BI81=2,AH144,0)</f>
        <v>0</v>
      </c>
      <c r="BD144">
        <f>IF(Source!BI81=2,AJ144,0)</f>
        <v>0</v>
      </c>
    </row>
    <row r="145" ht="38.25">
      <c r="B145" s="45" t="str">
        <f>Source!EO81</f>
        <v>Поправка: М-ка 421/пр 04.08.20 п.58 п.п. б)</v>
      </c>
    </row>
    <row r="146" ht="12.75">
      <c r="C146" s="46" t="str">
        <f>"Объем: "&amp;Source!K81&amp;"=72/"&amp;"100"</f>
        <v>Объем: 0,72=72/100</v>
      </c>
    </row>
    <row r="147" spans="1:12" ht="14.25">
      <c r="A147" s="74"/>
      <c r="B147" s="75">
        <v>1</v>
      </c>
      <c r="C147" s="74" t="s">
        <v>522</v>
      </c>
      <c r="D147" s="56"/>
      <c r="E147" s="57"/>
      <c r="F147" s="57"/>
      <c r="G147" s="57"/>
      <c r="H147" s="49">
        <f>Source!AO81</f>
        <v>300.22</v>
      </c>
      <c r="I147" s="58">
        <f>ROUND(1.15,7)</f>
        <v>1.15</v>
      </c>
      <c r="J147" s="49">
        <f>ROUND(Source!AF81*Source!I81,2)</f>
        <v>248.58</v>
      </c>
      <c r="K147" s="58">
        <f>IF(Source!BA81&lt;&gt;0,Source!BA81,1)</f>
        <v>37.34</v>
      </c>
      <c r="L147" s="49">
        <f>Source!S81</f>
        <v>9281.98</v>
      </c>
    </row>
    <row r="148" spans="1:12" ht="14.25">
      <c r="A148" s="74"/>
      <c r="B148" s="75">
        <v>4</v>
      </c>
      <c r="C148" s="74" t="s">
        <v>540</v>
      </c>
      <c r="D148" s="56"/>
      <c r="E148" s="57"/>
      <c r="F148" s="57"/>
      <c r="G148" s="57"/>
      <c r="H148" s="49">
        <f>Source!AL81</f>
        <v>137.73</v>
      </c>
      <c r="I148" s="58"/>
      <c r="J148" s="49">
        <f>ROUND(Source!AC81*Source!I81,2)</f>
        <v>99.17</v>
      </c>
      <c r="K148" s="58">
        <f>IF(Source!BC81&lt;&gt;0,Source!BC81,1)</f>
        <v>6.72</v>
      </c>
      <c r="L148" s="49">
        <f>Source!P81</f>
        <v>666.39</v>
      </c>
    </row>
    <row r="149" spans="1:12" ht="14.25">
      <c r="A149" s="74"/>
      <c r="B149" s="74"/>
      <c r="C149" s="76" t="s">
        <v>525</v>
      </c>
      <c r="D149" s="60" t="s">
        <v>526</v>
      </c>
      <c r="E149" s="61">
        <f>Source!AQ81</f>
        <v>33.1</v>
      </c>
      <c r="F149" s="61">
        <f>ROUND(1.15,7)</f>
        <v>1.15</v>
      </c>
      <c r="G149" s="113">
        <f>ROUND(Source!U81,7)</f>
        <v>27.4068</v>
      </c>
      <c r="H149" s="62"/>
      <c r="I149" s="63"/>
      <c r="J149" s="62"/>
      <c r="K149" s="63"/>
      <c r="L149" s="62"/>
    </row>
    <row r="150" spans="1:12" ht="14.25">
      <c r="A150" s="74"/>
      <c r="B150" s="74"/>
      <c r="C150" s="74" t="s">
        <v>528</v>
      </c>
      <c r="D150" s="56"/>
      <c r="E150" s="57"/>
      <c r="F150" s="57"/>
      <c r="G150" s="57"/>
      <c r="H150" s="49">
        <f>H147+H148</f>
        <v>437.95000000000005</v>
      </c>
      <c r="I150" s="58"/>
      <c r="J150" s="49">
        <f>J147+J148</f>
        <v>347.75</v>
      </c>
      <c r="K150" s="58"/>
      <c r="L150" s="49">
        <f>L147+L148</f>
        <v>9948.369999999999</v>
      </c>
    </row>
    <row r="151" spans="1:56" ht="28.5">
      <c r="A151" s="74" t="s">
        <v>156</v>
      </c>
      <c r="B151" s="74" t="s">
        <v>144</v>
      </c>
      <c r="C151" s="74" t="str">
        <f>Source!G83</f>
        <v>Нащельники и детали примыканий</v>
      </c>
      <c r="D151" s="56" t="str">
        <f>Source!DW83</f>
        <v>м</v>
      </c>
      <c r="E151" s="57">
        <f>SmtRes!AT168</f>
        <v>100</v>
      </c>
      <c r="F151" s="57"/>
      <c r="G151" s="57">
        <f>Source!I83</f>
        <v>72</v>
      </c>
      <c r="H151" s="49">
        <f>Source!AL83+Source!AO83+Source!AM83</f>
        <v>2917</v>
      </c>
      <c r="I151" s="58"/>
      <c r="J151" s="49">
        <f>ROUND(Source!AC83*Source!I83,2)+ROUND((((Source!ET83)-(Source!EU83))+Source!AE83)*Source!I83,2)+ROUND(Source!AF83*Source!I83,2)</f>
        <v>210024</v>
      </c>
      <c r="K151" s="58">
        <v>1</v>
      </c>
      <c r="L151" s="49">
        <f>J151*K151</f>
        <v>210024</v>
      </c>
      <c r="AF151" s="48">
        <f>J151</f>
        <v>210024</v>
      </c>
      <c r="AG151">
        <f>ROUND((Source!AT83/100)*((ROUND(Source!AF83*Source!I83,2)+ROUND(Source!AE83*Source!I83,2))),2)</f>
        <v>0</v>
      </c>
      <c r="AH151">
        <f>Source!X83</f>
        <v>0</v>
      </c>
      <c r="AI151">
        <f>ROUND((Source!AU83/100)*((ROUND(Source!AF83*Source!I83,2)+ROUND(Source!AE83*Source!I83,2))),2)</f>
        <v>0</v>
      </c>
      <c r="AJ151">
        <f>Source!Y83</f>
        <v>0</v>
      </c>
      <c r="AN151">
        <f>IF(Source!BI83&lt;=1,J151,0)</f>
        <v>210024</v>
      </c>
      <c r="AO151">
        <f>IF(Source!BI83&lt;=1,J151,0)</f>
        <v>210024</v>
      </c>
      <c r="AS151">
        <f>IF(Source!BI83&lt;=1,AH151,0)</f>
        <v>0</v>
      </c>
      <c r="AT151">
        <f>IF(Source!BI83&lt;=1,AJ151,0)</f>
        <v>0</v>
      </c>
      <c r="AX151">
        <f>IF(Source!BI83=2,J151,0)</f>
        <v>0</v>
      </c>
      <c r="AY151">
        <f>IF(Source!BI83=2,J151,0)</f>
        <v>0</v>
      </c>
      <c r="BC151">
        <f>IF(Source!BI83=2,AH151,0)</f>
        <v>0</v>
      </c>
      <c r="BD151">
        <f>IF(Source!BI83=2,AJ151,0)</f>
        <v>0</v>
      </c>
    </row>
    <row r="152" spans="1:12" ht="14.25">
      <c r="A152" s="74"/>
      <c r="B152" s="74"/>
      <c r="C152" s="74" t="s">
        <v>529</v>
      </c>
      <c r="D152" s="56"/>
      <c r="E152" s="57"/>
      <c r="F152" s="57"/>
      <c r="G152" s="57"/>
      <c r="H152" s="49"/>
      <c r="I152" s="58"/>
      <c r="J152" s="49">
        <f>SUM(Q144:Q155)+SUM(V144:V155)+SUM(X144:X155)+SUM(Y144:Y155)</f>
        <v>248.58</v>
      </c>
      <c r="K152" s="58"/>
      <c r="L152" s="49">
        <f>SUM(U144:U155)+SUM(W144:W155)+SUM(Z144:Z155)+SUM(AA144:AA155)</f>
        <v>9281.98</v>
      </c>
    </row>
    <row r="153" spans="1:12" ht="28.5">
      <c r="A153" s="74"/>
      <c r="B153" s="74" t="s">
        <v>35</v>
      </c>
      <c r="C153" s="74" t="s">
        <v>530</v>
      </c>
      <c r="D153" s="56" t="s">
        <v>531</v>
      </c>
      <c r="E153" s="57">
        <f>Source!BZ81</f>
        <v>93</v>
      </c>
      <c r="F153" s="57"/>
      <c r="G153" s="57">
        <f>Source!AT81</f>
        <v>93</v>
      </c>
      <c r="H153" s="49"/>
      <c r="I153" s="58"/>
      <c r="J153" s="49">
        <f>SUM(AG144:AG155)</f>
        <v>231.18</v>
      </c>
      <c r="K153" s="58"/>
      <c r="L153" s="49">
        <f>SUM(AH144:AH155)</f>
        <v>8632.24</v>
      </c>
    </row>
    <row r="154" spans="1:12" ht="28.5">
      <c r="A154" s="76"/>
      <c r="B154" s="76" t="s">
        <v>542</v>
      </c>
      <c r="C154" s="76" t="s">
        <v>532</v>
      </c>
      <c r="D154" s="60" t="s">
        <v>531</v>
      </c>
      <c r="E154" s="61">
        <f>Source!CA81</f>
        <v>62</v>
      </c>
      <c r="F154" s="61">
        <f>ROUND(0.85,7)</f>
        <v>0.85</v>
      </c>
      <c r="G154" s="61">
        <f>Source!AU81</f>
        <v>52.7</v>
      </c>
      <c r="H154" s="62"/>
      <c r="I154" s="63"/>
      <c r="J154" s="62">
        <f>SUM(AI144:AI155)</f>
        <v>131</v>
      </c>
      <c r="K154" s="63"/>
      <c r="L154" s="62">
        <f>SUM(AJ144:AJ155)</f>
        <v>4891.6</v>
      </c>
    </row>
    <row r="155" spans="3:53" ht="15">
      <c r="C155" s="134" t="s">
        <v>533</v>
      </c>
      <c r="D155" s="134"/>
      <c r="E155" s="134"/>
      <c r="F155" s="134"/>
      <c r="G155" s="134"/>
      <c r="H155" s="134"/>
      <c r="I155" s="134">
        <f>J147+J148+J153+J154+SUM(J151:J151)</f>
        <v>210733.93</v>
      </c>
      <c r="J155" s="134"/>
      <c r="K155" s="134">
        <f>L147+L148+L153+L154+SUM(L151:L151)</f>
        <v>233496.21</v>
      </c>
      <c r="L155" s="134"/>
      <c r="O155" s="48">
        <f>I155</f>
        <v>210733.93</v>
      </c>
      <c r="P155" s="48">
        <f>K155</f>
        <v>233496.21</v>
      </c>
      <c r="Q155" s="48">
        <f>J147</f>
        <v>248.58</v>
      </c>
      <c r="R155" s="48">
        <f>J147</f>
        <v>248.58</v>
      </c>
      <c r="U155" s="48">
        <f>L147</f>
        <v>9281.98</v>
      </c>
      <c r="X155">
        <f>0</f>
        <v>0</v>
      </c>
      <c r="Z155">
        <f>0</f>
        <v>0</v>
      </c>
      <c r="AB155">
        <f>0</f>
        <v>0</v>
      </c>
      <c r="AD155">
        <f>0</f>
        <v>0</v>
      </c>
      <c r="AF155" s="48">
        <f>J148</f>
        <v>99.17</v>
      </c>
      <c r="AN155">
        <f>IF(Source!BI81&lt;=1,J147+J148+J153+J154,0)</f>
        <v>709.9300000000001</v>
      </c>
      <c r="AO155">
        <f>IF(Source!BI81&lt;=1,J148,0)</f>
        <v>99.17</v>
      </c>
      <c r="AP155">
        <f>IF(Source!BI81&lt;=1,0,0)</f>
        <v>0</v>
      </c>
      <c r="AQ155">
        <f>IF(Source!BI81&lt;=1,J147,0)</f>
        <v>248.58</v>
      </c>
      <c r="AX155">
        <f>IF(Source!BI81=2,J147+J148+J153+J154,0)</f>
        <v>0</v>
      </c>
      <c r="AY155">
        <f>IF(Source!BI81=2,J148,0)</f>
        <v>0</v>
      </c>
      <c r="AZ155">
        <f>IF(Source!BI81=2,0,0)</f>
        <v>0</v>
      </c>
      <c r="BA155">
        <f>IF(Source!BI81=2,J147,0)</f>
        <v>0</v>
      </c>
    </row>
    <row r="156" spans="1:56" ht="42.75">
      <c r="A156" s="74">
        <v>9</v>
      </c>
      <c r="B156" s="74" t="s">
        <v>552</v>
      </c>
      <c r="C156" s="74" t="str">
        <f>Source!G85</f>
        <v>Установка автоматических раздвижных дверей: одностворчатых, весом створки до 200 кг</v>
      </c>
      <c r="D156" s="56" t="str">
        <f>Source!DW85</f>
        <v>КОМПЛ</v>
      </c>
      <c r="E156" s="57">
        <f>Source!K85</f>
        <v>2</v>
      </c>
      <c r="F156" s="57"/>
      <c r="G156" s="57">
        <f>Source!I85</f>
        <v>2</v>
      </c>
      <c r="H156" s="49"/>
      <c r="I156" s="58"/>
      <c r="J156" s="49"/>
      <c r="K156" s="58"/>
      <c r="L156" s="49"/>
      <c r="AG156">
        <f>ROUND((Source!AT85/100)*((ROUND(Source!AF85*Source!I85,2)+ROUND(Source!AE85*Source!I85,2))),2)</f>
        <v>187.6</v>
      </c>
      <c r="AH156">
        <f>Source!X85</f>
        <v>7004.84</v>
      </c>
      <c r="AI156">
        <f>ROUND((Source!AU85/100)*((ROUND(Source!AF85*Source!I85,2)+ROUND(Source!AE85*Source!I85,2))),2)</f>
        <v>95.88</v>
      </c>
      <c r="AJ156">
        <f>Source!Y85</f>
        <v>3580.25</v>
      </c>
      <c r="AS156">
        <f>IF(Source!BI85&lt;=1,AH156,0)</f>
        <v>0</v>
      </c>
      <c r="AT156">
        <f>IF(Source!BI85&lt;=1,AJ156,0)</f>
        <v>0</v>
      </c>
      <c r="BC156">
        <f>IF(Source!BI85=2,AH156,0)</f>
        <v>7004.84</v>
      </c>
      <c r="BD156">
        <f>IF(Source!BI85=2,AJ156,0)</f>
        <v>3580.25</v>
      </c>
    </row>
    <row r="158" spans="1:12" ht="14.25">
      <c r="A158" s="74"/>
      <c r="B158" s="75">
        <v>1</v>
      </c>
      <c r="C158" s="74" t="s">
        <v>522</v>
      </c>
      <c r="D158" s="56"/>
      <c r="E158" s="57"/>
      <c r="F158" s="57"/>
      <c r="G158" s="57"/>
      <c r="H158" s="49">
        <f>Source!AO85</f>
        <v>103.87</v>
      </c>
      <c r="I158" s="58"/>
      <c r="J158" s="49">
        <f>ROUND(Source!AF85*Source!I85,2)</f>
        <v>207.74</v>
      </c>
      <c r="K158" s="58">
        <f>IF(Source!BA85&lt;&gt;0,Source!BA85,1)</f>
        <v>37.34</v>
      </c>
      <c r="L158" s="49">
        <f>Source!S85</f>
        <v>7757.01</v>
      </c>
    </row>
    <row r="159" spans="1:12" ht="14.25">
      <c r="A159" s="74"/>
      <c r="B159" s="75">
        <v>3</v>
      </c>
      <c r="C159" s="74" t="s">
        <v>523</v>
      </c>
      <c r="D159" s="56"/>
      <c r="E159" s="57"/>
      <c r="F159" s="57"/>
      <c r="G159" s="57"/>
      <c r="H159" s="49">
        <f>Source!AM85</f>
        <v>3.37</v>
      </c>
      <c r="I159" s="58"/>
      <c r="J159" s="49">
        <f>ROUND((((Source!ET85)-(Source!EU85))+Source!AE85)*Source!I85,2)</f>
        <v>6.74</v>
      </c>
      <c r="K159" s="58">
        <f>IF(Source!BB85&lt;&gt;0,Source!BB85,1)</f>
        <v>13.24</v>
      </c>
      <c r="L159" s="49">
        <f>Source!Q85</f>
        <v>89.24</v>
      </c>
    </row>
    <row r="160" spans="1:12" ht="14.25">
      <c r="A160" s="74"/>
      <c r="B160" s="75">
        <v>2</v>
      </c>
      <c r="C160" s="74" t="s">
        <v>524</v>
      </c>
      <c r="D160" s="56"/>
      <c r="E160" s="57"/>
      <c r="F160" s="57"/>
      <c r="G160" s="57"/>
      <c r="H160" s="49">
        <f>Source!AN85</f>
        <v>0.35</v>
      </c>
      <c r="I160" s="58"/>
      <c r="J160" s="59">
        <f>ROUND(Source!AE85*Source!I85,2)</f>
        <v>0.7</v>
      </c>
      <c r="K160" s="58">
        <f>IF(Source!BS85&lt;&gt;0,Source!BS85,1)</f>
        <v>37.34</v>
      </c>
      <c r="L160" s="59">
        <f>Source!R85</f>
        <v>26.14</v>
      </c>
    </row>
    <row r="161" spans="1:12" ht="14.25">
      <c r="A161" s="74"/>
      <c r="B161" s="75">
        <v>4</v>
      </c>
      <c r="C161" s="74" t="s">
        <v>540</v>
      </c>
      <c r="D161" s="56"/>
      <c r="E161" s="57"/>
      <c r="F161" s="57"/>
      <c r="G161" s="57"/>
      <c r="H161" s="49">
        <f>Source!AL85</f>
        <v>2.36</v>
      </c>
      <c r="I161" s="58"/>
      <c r="J161" s="49">
        <f>ROUND(Source!AC85*Source!I85,2)</f>
        <v>4.72</v>
      </c>
      <c r="K161" s="58">
        <f>IF(Source!BC85&lt;&gt;0,Source!BC85,1)</f>
        <v>6.72</v>
      </c>
      <c r="L161" s="49">
        <f>Source!P85</f>
        <v>31.72</v>
      </c>
    </row>
    <row r="162" spans="1:12" ht="14.25">
      <c r="A162" s="74"/>
      <c r="B162" s="74"/>
      <c r="C162" s="74" t="s">
        <v>525</v>
      </c>
      <c r="D162" s="56" t="s">
        <v>526</v>
      </c>
      <c r="E162" s="57">
        <f>Source!AQ85</f>
        <v>11.58</v>
      </c>
      <c r="F162" s="57"/>
      <c r="G162" s="57">
        <f>ROUND(Source!U85,7)</f>
        <v>23.16</v>
      </c>
      <c r="H162" s="49"/>
      <c r="I162" s="58"/>
      <c r="J162" s="49"/>
      <c r="K162" s="58"/>
      <c r="L162" s="49"/>
    </row>
    <row r="163" spans="1:12" ht="14.25">
      <c r="A163" s="74"/>
      <c r="B163" s="74"/>
      <c r="C163" s="76" t="s">
        <v>527</v>
      </c>
      <c r="D163" s="60" t="s">
        <v>526</v>
      </c>
      <c r="E163" s="61">
        <f>Source!AR85</f>
        <v>0.03</v>
      </c>
      <c r="F163" s="61"/>
      <c r="G163" s="61">
        <f>ROUND(Source!V85,7)</f>
        <v>0.06</v>
      </c>
      <c r="H163" s="62"/>
      <c r="I163" s="63"/>
      <c r="J163" s="62"/>
      <c r="K163" s="63"/>
      <c r="L163" s="62"/>
    </row>
    <row r="164" spans="1:12" ht="14.25">
      <c r="A164" s="74"/>
      <c r="B164" s="74"/>
      <c r="C164" s="74" t="s">
        <v>528</v>
      </c>
      <c r="D164" s="56"/>
      <c r="E164" s="57"/>
      <c r="F164" s="57"/>
      <c r="G164" s="57"/>
      <c r="H164" s="49">
        <f>H158+H159+H161</f>
        <v>109.60000000000001</v>
      </c>
      <c r="I164" s="58"/>
      <c r="J164" s="49">
        <f>J158+J159+J161</f>
        <v>219.20000000000002</v>
      </c>
      <c r="K164" s="58"/>
      <c r="L164" s="49">
        <f>L158+L159+L161</f>
        <v>7877.97</v>
      </c>
    </row>
    <row r="165" spans="1:56" ht="217.5" customHeight="1">
      <c r="A165" s="74" t="s">
        <v>169</v>
      </c>
      <c r="B165" s="74" t="s">
        <v>144</v>
      </c>
      <c r="C165" s="74" t="str">
        <f>Source!G87</f>
        <v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AL. Заполнение: стеклопакет 6зак+20+6зак. внешняя.                                          Направляющие нерж. сталь.Панель управления. Радар Eagle. Фотоэлементы. Электромагнитный замок.).</v>
      </c>
      <c r="D165" s="56" t="str">
        <f>Source!DW87</f>
        <v>КОМП</v>
      </c>
      <c r="E165" s="57">
        <f>SmtRes!AT181</f>
        <v>0.5</v>
      </c>
      <c r="F165" s="57"/>
      <c r="G165" s="57">
        <f>Source!I87</f>
        <v>1</v>
      </c>
      <c r="H165" s="49">
        <f>Source!AL87+Source!AO87+Source!AM87</f>
        <v>489550</v>
      </c>
      <c r="I165" s="58"/>
      <c r="J165" s="49">
        <f>ROUND(Source!AC87*Source!I87,2)+ROUND((((Source!ET87)-(Source!EU87))+Source!AE87)*Source!I87,2)+ROUND(Source!AF87*Source!I87,2)</f>
        <v>489550</v>
      </c>
      <c r="K165" s="58">
        <v>1</v>
      </c>
      <c r="L165" s="49">
        <f>J165*K165</f>
        <v>489550</v>
      </c>
      <c r="AF165" s="48">
        <f>J165</f>
        <v>489550</v>
      </c>
      <c r="AG165">
        <f>ROUND((Source!AT87/100)*((ROUND(Source!AF87*Source!I87,2)+ROUND(Source!AE87*Source!I87,2))),2)</f>
        <v>0</v>
      </c>
      <c r="AH165">
        <f>Source!X87</f>
        <v>0</v>
      </c>
      <c r="AI165">
        <f>ROUND((Source!AU87/100)*((ROUND(Source!AF87*Source!I87,2)+ROUND(Source!AE87*Source!I87,2))),2)</f>
        <v>0</v>
      </c>
      <c r="AJ165">
        <f>Source!Y87</f>
        <v>0</v>
      </c>
      <c r="AN165">
        <f>IF(Source!BI87&lt;=1,J165,0)</f>
        <v>0</v>
      </c>
      <c r="AO165">
        <f>IF(Source!BI87&lt;=1,J165,0)</f>
        <v>0</v>
      </c>
      <c r="AS165">
        <f>IF(Source!BI87&lt;=1,AH165,0)</f>
        <v>0</v>
      </c>
      <c r="AT165">
        <f>IF(Source!BI87&lt;=1,AJ165,0)</f>
        <v>0</v>
      </c>
      <c r="AX165">
        <f>IF(Source!BI87=2,J165,0)</f>
        <v>489550</v>
      </c>
      <c r="AY165">
        <f>IF(Source!BI87=2,J165,0)</f>
        <v>489550</v>
      </c>
      <c r="BC165">
        <f>IF(Source!BI87=2,AH165,0)</f>
        <v>0</v>
      </c>
      <c r="BD165">
        <f>IF(Source!BI87=2,AJ165,0)</f>
        <v>0</v>
      </c>
    </row>
    <row r="166" spans="1:56" ht="213.75">
      <c r="A166" s="74" t="s">
        <v>171</v>
      </c>
      <c r="B166" s="74" t="s">
        <v>144</v>
      </c>
      <c r="C166" s="74" t="str">
        <f>Source!G89</f>
        <v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A. Заполнение - триплекс 9 мм. Направляющие нерж. сталь.Панель управления. Радар Eagle. Фотоэлементы. Электромагнитный замок.)</v>
      </c>
      <c r="D166" s="56" t="str">
        <f>Source!DW89</f>
        <v>КОМП</v>
      </c>
      <c r="E166" s="57">
        <f>SmtRes!AT182</f>
        <v>0.5</v>
      </c>
      <c r="F166" s="57"/>
      <c r="G166" s="57">
        <f>Source!I89</f>
        <v>1</v>
      </c>
      <c r="H166" s="49">
        <f>Source!AL89+Source!AO89+Source!AM89</f>
        <v>469625</v>
      </c>
      <c r="I166" s="58"/>
      <c r="J166" s="49">
        <f>ROUND(Source!AC89*Source!I89,2)+ROUND((((Source!ET89)-(Source!EU89))+Source!AE89)*Source!I89,2)+ROUND(Source!AF89*Source!I89,2)</f>
        <v>469625</v>
      </c>
      <c r="K166" s="58">
        <v>1</v>
      </c>
      <c r="L166" s="49">
        <f>K166*J166</f>
        <v>469625</v>
      </c>
      <c r="AF166" s="48">
        <f>J166</f>
        <v>469625</v>
      </c>
      <c r="AG166">
        <f>ROUND((Source!AT89/100)*((ROUND(Source!AF89*Source!I89,2)+ROUND(Source!AE89*Source!I89,2))),2)</f>
        <v>0</v>
      </c>
      <c r="AH166">
        <f>Source!X89</f>
        <v>0</v>
      </c>
      <c r="AI166">
        <f>ROUND((Source!AU89/100)*((ROUND(Source!AF89*Source!I89,2)+ROUND(Source!AE89*Source!I89,2))),2)</f>
        <v>0</v>
      </c>
      <c r="AJ166">
        <f>Source!Y89</f>
        <v>0</v>
      </c>
      <c r="AN166">
        <f>IF(Source!BI89&lt;=1,J166,0)</f>
        <v>0</v>
      </c>
      <c r="AO166">
        <f>IF(Source!BI89&lt;=1,J166,0)</f>
        <v>0</v>
      </c>
      <c r="AS166">
        <f>IF(Source!BI89&lt;=1,AH166,0)</f>
        <v>0</v>
      </c>
      <c r="AT166">
        <f>IF(Source!BI89&lt;=1,AJ166,0)</f>
        <v>0</v>
      </c>
      <c r="AX166">
        <f>IF(Source!BI89=2,J166,0)</f>
        <v>469625</v>
      </c>
      <c r="AY166">
        <f>IF(Source!BI89=2,J166,0)</f>
        <v>469625</v>
      </c>
      <c r="BC166">
        <f>IF(Source!BI89=2,AH166,0)</f>
        <v>0</v>
      </c>
      <c r="BD166">
        <f>IF(Source!BI89=2,AJ166,0)</f>
        <v>0</v>
      </c>
    </row>
    <row r="167" spans="1:12" ht="14.25">
      <c r="A167" s="74"/>
      <c r="B167" s="74"/>
      <c r="C167" s="74" t="s">
        <v>529</v>
      </c>
      <c r="D167" s="56"/>
      <c r="E167" s="57"/>
      <c r="F167" s="57"/>
      <c r="G167" s="57"/>
      <c r="H167" s="49"/>
      <c r="I167" s="58"/>
      <c r="J167" s="49">
        <f>SUM(Q156:Q170)+SUM(V156:V170)+SUM(X156:X170)+SUM(Y156:Y170)</f>
        <v>208.44</v>
      </c>
      <c r="K167" s="58"/>
      <c r="L167" s="49">
        <f>SUM(U156:U170)+SUM(W156:W170)+SUM(Z156:Z170)+SUM(AA156:AA170)</f>
        <v>7783.150000000001</v>
      </c>
    </row>
    <row r="168" spans="1:12" ht="28.5">
      <c r="A168" s="74"/>
      <c r="B168" s="74" t="s">
        <v>166</v>
      </c>
      <c r="C168" s="74" t="s">
        <v>553</v>
      </c>
      <c r="D168" s="56" t="s">
        <v>531</v>
      </c>
      <c r="E168" s="57">
        <f>Source!BZ85</f>
        <v>90</v>
      </c>
      <c r="F168" s="57"/>
      <c r="G168" s="57">
        <f>Source!AT85</f>
        <v>90</v>
      </c>
      <c r="H168" s="49"/>
      <c r="I168" s="58"/>
      <c r="J168" s="49">
        <f>SUM(AG156:AG170)</f>
        <v>187.6</v>
      </c>
      <c r="K168" s="58"/>
      <c r="L168" s="49">
        <f>SUM(AH156:AH170)</f>
        <v>7004.84</v>
      </c>
    </row>
    <row r="169" spans="1:12" ht="28.5">
      <c r="A169" s="76"/>
      <c r="B169" s="76" t="s">
        <v>167</v>
      </c>
      <c r="C169" s="76" t="s">
        <v>554</v>
      </c>
      <c r="D169" s="60" t="s">
        <v>531</v>
      </c>
      <c r="E169" s="61">
        <f>Source!CA85</f>
        <v>46</v>
      </c>
      <c r="F169" s="61"/>
      <c r="G169" s="61">
        <f>Source!AU85</f>
        <v>46</v>
      </c>
      <c r="H169" s="62"/>
      <c r="I169" s="63"/>
      <c r="J169" s="62">
        <f>SUM(AI156:AI170)</f>
        <v>95.88</v>
      </c>
      <c r="K169" s="63"/>
      <c r="L169" s="62">
        <f>SUM(AJ156:AJ170)</f>
        <v>3580.25</v>
      </c>
    </row>
    <row r="170" spans="3:53" ht="15">
      <c r="C170" s="134" t="s">
        <v>533</v>
      </c>
      <c r="D170" s="134"/>
      <c r="E170" s="134"/>
      <c r="F170" s="134"/>
      <c r="G170" s="134"/>
      <c r="H170" s="134"/>
      <c r="I170" s="134">
        <f>J158+J159+J161+J168+J169+SUM(J165:J166)</f>
        <v>959677.68</v>
      </c>
      <c r="J170" s="134"/>
      <c r="K170" s="134">
        <f>L158+L159+L161+L168+L169+SUM(L165:L166)</f>
        <v>977638.06</v>
      </c>
      <c r="L170" s="134"/>
      <c r="O170" s="48">
        <f>I170</f>
        <v>959677.68</v>
      </c>
      <c r="P170" s="48">
        <f>K170</f>
        <v>977638.06</v>
      </c>
      <c r="Q170" s="48">
        <f>J158</f>
        <v>207.74</v>
      </c>
      <c r="R170" s="48">
        <f>J158</f>
        <v>207.74</v>
      </c>
      <c r="U170" s="48">
        <f>L158</f>
        <v>7757.01</v>
      </c>
      <c r="X170" s="48">
        <f>J160</f>
        <v>0.7</v>
      </c>
      <c r="Z170" s="48">
        <f>L160</f>
        <v>26.14</v>
      </c>
      <c r="AB170" s="48">
        <f>J159</f>
        <v>6.74</v>
      </c>
      <c r="AD170" s="48">
        <f>L159</f>
        <v>89.24</v>
      </c>
      <c r="AF170" s="48">
        <f>J161</f>
        <v>4.72</v>
      </c>
      <c r="AN170">
        <f>IF(Source!BI85&lt;=1,J158+J159+J161+J168+J169,0)</f>
        <v>0</v>
      </c>
      <c r="AO170">
        <f>IF(Source!BI85&lt;=1,J161,0)</f>
        <v>0</v>
      </c>
      <c r="AP170">
        <f>IF(Source!BI85&lt;=1,J159,0)</f>
        <v>0</v>
      </c>
      <c r="AQ170">
        <f>IF(Source!BI85&lt;=1,J158,0)</f>
        <v>0</v>
      </c>
      <c r="AX170">
        <f>IF(Source!BI85=2,J158+J159+J161+J168+J169,0)</f>
        <v>502.68</v>
      </c>
      <c r="AY170">
        <f>IF(Source!BI85=2,J161,0)</f>
        <v>4.72</v>
      </c>
      <c r="AZ170">
        <f>IF(Source!BI85=2,J159,0)</f>
        <v>6.74</v>
      </c>
      <c r="BA170">
        <f>IF(Source!BI85=2,J158,0)</f>
        <v>207.74</v>
      </c>
    </row>
    <row r="171" spans="1:56" ht="42.75">
      <c r="A171" s="74">
        <v>10</v>
      </c>
      <c r="B171" s="74" t="s">
        <v>555</v>
      </c>
      <c r="C171" s="74" t="str">
        <f>Source!G91</f>
        <v>Гидроизоляция набухающей самоклеящейся лентой: горизонтальных швов</v>
      </c>
      <c r="D171" s="56" t="str">
        <f>Source!DW91</f>
        <v>100 м</v>
      </c>
      <c r="E171" s="57">
        <f>Source!K91</f>
        <v>0.138</v>
      </c>
      <c r="F171" s="57"/>
      <c r="G171" s="57">
        <f>Source!I91</f>
        <v>0.138</v>
      </c>
      <c r="H171" s="49"/>
      <c r="I171" s="58"/>
      <c r="J171" s="49"/>
      <c r="K171" s="58"/>
      <c r="L171" s="49"/>
      <c r="AG171">
        <f>ROUND((Source!AT91/100)*((ROUND(Source!AF91*Source!I91,2)+ROUND(Source!AE91*Source!I91,2))),2)</f>
        <v>5.06</v>
      </c>
      <c r="AH171">
        <f>Source!X91</f>
        <v>188.99</v>
      </c>
      <c r="AI171">
        <f>ROUND((Source!AU91/100)*((ROUND(Source!AF91*Source!I91,2)+ROUND(Source!AE91*Source!I91,2))),2)</f>
        <v>2.9</v>
      </c>
      <c r="AJ171">
        <f>Source!Y91</f>
        <v>108.26</v>
      </c>
      <c r="AS171">
        <f>IF(Source!BI91&lt;=1,AH171,0)</f>
        <v>188.99</v>
      </c>
      <c r="AT171">
        <f>IF(Source!BI91&lt;=1,AJ171,0)</f>
        <v>108.26</v>
      </c>
      <c r="BC171">
        <f>IF(Source!BI91=2,AH171,0)</f>
        <v>0</v>
      </c>
      <c r="BD171">
        <f>IF(Source!BI91=2,AJ171,0)</f>
        <v>0</v>
      </c>
    </row>
    <row r="173" ht="12.75">
      <c r="C173" s="46" t="str">
        <f>"Объем: "&amp;Source!K91&amp;"=13,8/"&amp;"100"</f>
        <v>Объем: 0,138=13,8/100</v>
      </c>
    </row>
    <row r="174" spans="1:12" ht="14.25">
      <c r="A174" s="74"/>
      <c r="B174" s="75">
        <v>1</v>
      </c>
      <c r="C174" s="74" t="s">
        <v>522</v>
      </c>
      <c r="D174" s="56"/>
      <c r="E174" s="57"/>
      <c r="F174" s="57"/>
      <c r="G174" s="57"/>
      <c r="H174" s="49">
        <f>Source!AO91</f>
        <v>31.55</v>
      </c>
      <c r="I174" s="58"/>
      <c r="J174" s="49">
        <f>ROUND(Source!AF91*Source!I91,2)</f>
        <v>4.35</v>
      </c>
      <c r="K174" s="58">
        <f>IF(Source!BA91&lt;&gt;0,Source!BA91,1)</f>
        <v>37.34</v>
      </c>
      <c r="L174" s="49">
        <f>Source!S91</f>
        <v>162.57</v>
      </c>
    </row>
    <row r="175" spans="1:12" ht="14.25">
      <c r="A175" s="74"/>
      <c r="B175" s="75">
        <v>3</v>
      </c>
      <c r="C175" s="74" t="s">
        <v>523</v>
      </c>
      <c r="D175" s="56"/>
      <c r="E175" s="57"/>
      <c r="F175" s="57"/>
      <c r="G175" s="57"/>
      <c r="H175" s="49">
        <f>Source!AM91</f>
        <v>99.38</v>
      </c>
      <c r="I175" s="58"/>
      <c r="J175" s="49">
        <f>ROUND((((Source!ET91)-(Source!EU91))+Source!AE91)*Source!I91,2)</f>
        <v>13.71</v>
      </c>
      <c r="K175" s="58">
        <f>IF(Source!BB91&lt;&gt;0,Source!BB91,1)</f>
        <v>13.24</v>
      </c>
      <c r="L175" s="49">
        <f>Source!Q91</f>
        <v>181.58</v>
      </c>
    </row>
    <row r="176" spans="1:12" ht="14.25">
      <c r="A176" s="74"/>
      <c r="B176" s="75">
        <v>2</v>
      </c>
      <c r="C176" s="74" t="s">
        <v>524</v>
      </c>
      <c r="D176" s="56"/>
      <c r="E176" s="57"/>
      <c r="F176" s="57"/>
      <c r="G176" s="57"/>
      <c r="H176" s="49">
        <f>Source!AN91</f>
        <v>4.06</v>
      </c>
      <c r="I176" s="58"/>
      <c r="J176" s="59">
        <f>ROUND(Source!AE91*Source!I91,2)</f>
        <v>0.56</v>
      </c>
      <c r="K176" s="58">
        <f>IF(Source!BS91&lt;&gt;0,Source!BS91,1)</f>
        <v>37.34</v>
      </c>
      <c r="L176" s="59">
        <f>Source!R91</f>
        <v>20.92</v>
      </c>
    </row>
    <row r="177" spans="1:12" ht="14.25">
      <c r="A177" s="74"/>
      <c r="B177" s="74"/>
      <c r="C177" s="74" t="s">
        <v>525</v>
      </c>
      <c r="D177" s="56" t="s">
        <v>526</v>
      </c>
      <c r="E177" s="57">
        <f>Source!AQ91</f>
        <v>3.28</v>
      </c>
      <c r="F177" s="57"/>
      <c r="G177" s="57">
        <f>ROUND(Source!U91,7)</f>
        <v>0.45264</v>
      </c>
      <c r="H177" s="49"/>
      <c r="I177" s="58"/>
      <c r="J177" s="49"/>
      <c r="K177" s="58"/>
      <c r="L177" s="49"/>
    </row>
    <row r="178" spans="1:12" ht="14.25">
      <c r="A178" s="74"/>
      <c r="B178" s="74"/>
      <c r="C178" s="76" t="s">
        <v>527</v>
      </c>
      <c r="D178" s="60" t="s">
        <v>526</v>
      </c>
      <c r="E178" s="61">
        <f>Source!AR91</f>
        <v>0.35</v>
      </c>
      <c r="F178" s="61"/>
      <c r="G178" s="61">
        <f>ROUND(Source!V91,7)</f>
        <v>0.0483</v>
      </c>
      <c r="H178" s="62"/>
      <c r="I178" s="63"/>
      <c r="J178" s="62"/>
      <c r="K178" s="63"/>
      <c r="L178" s="62"/>
    </row>
    <row r="179" spans="1:12" ht="14.25">
      <c r="A179" s="74"/>
      <c r="B179" s="74"/>
      <c r="C179" s="74" t="s">
        <v>528</v>
      </c>
      <c r="D179" s="56"/>
      <c r="E179" s="57"/>
      <c r="F179" s="57"/>
      <c r="G179" s="57"/>
      <c r="H179" s="49">
        <f>H174+H175</f>
        <v>130.93</v>
      </c>
      <c r="I179" s="58"/>
      <c r="J179" s="49">
        <f>J174+J175</f>
        <v>18.060000000000002</v>
      </c>
      <c r="K179" s="58"/>
      <c r="L179" s="49">
        <f>L174+L175</f>
        <v>344.15</v>
      </c>
    </row>
    <row r="180" spans="1:56" ht="42.75">
      <c r="A180" s="74" t="s">
        <v>176</v>
      </c>
      <c r="B180" s="74" t="s">
        <v>556</v>
      </c>
      <c r="C180" s="74" t="str">
        <f>Source!G93</f>
        <v>Лента герметизирующая самоклеящая Герлен-Д шириной: 100 мм толщиной 3 мм</v>
      </c>
      <c r="D180" s="56" t="str">
        <f>Source!DW93</f>
        <v>кг</v>
      </c>
      <c r="E180" s="112">
        <f>SmtRes!AT192</f>
        <v>38.043478</v>
      </c>
      <c r="F180" s="57"/>
      <c r="G180" s="57">
        <f>Source!I93</f>
        <v>5.25</v>
      </c>
      <c r="H180" s="49">
        <f>Source!AL93+Source!AO93+Source!AM93</f>
        <v>31.08</v>
      </c>
      <c r="I180" s="58"/>
      <c r="J180" s="49">
        <f>ROUND(Source!AC93*Source!I93,2)+ROUND((((Source!ET93)-(Source!EU93))+Source!AE93)*Source!I93,2)+ROUND(Source!AF93*Source!I93,2)</f>
        <v>163.17</v>
      </c>
      <c r="K180" s="58">
        <f>IF(Source!BC93&lt;&gt;0,Source!BC93,1)</f>
        <v>6.72</v>
      </c>
      <c r="L180" s="49">
        <f>Source!O93</f>
        <v>1096.5</v>
      </c>
      <c r="AF180" s="48">
        <f>J180</f>
        <v>163.17</v>
      </c>
      <c r="AG180">
        <f>ROUND((Source!AT93/100)*((ROUND(Source!AF93*Source!I93,2)+ROUND(Source!AE93*Source!I93,2))),2)</f>
        <v>0</v>
      </c>
      <c r="AH180">
        <f>Source!X93</f>
        <v>0</v>
      </c>
      <c r="AI180">
        <f>ROUND((Source!AU93/100)*((ROUND(Source!AF93*Source!I93,2)+ROUND(Source!AE93*Source!I93,2))),2)</f>
        <v>0</v>
      </c>
      <c r="AJ180">
        <f>Source!Y93</f>
        <v>0</v>
      </c>
      <c r="AN180">
        <f>IF(Source!BI93&lt;=1,J180,0)</f>
        <v>163.17</v>
      </c>
      <c r="AO180">
        <f>IF(Source!BI93&lt;=1,J180,0)</f>
        <v>163.17</v>
      </c>
      <c r="AS180">
        <f>IF(Source!BI93&lt;=1,AH180,0)</f>
        <v>0</v>
      </c>
      <c r="AT180">
        <f>IF(Source!BI93&lt;=1,AJ180,0)</f>
        <v>0</v>
      </c>
      <c r="AX180">
        <f>IF(Source!BI93=2,J180,0)</f>
        <v>0</v>
      </c>
      <c r="AY180">
        <f>IF(Source!BI93=2,J180,0)</f>
        <v>0</v>
      </c>
      <c r="BC180">
        <f>IF(Source!BI93=2,AH180,0)</f>
        <v>0</v>
      </c>
      <c r="BD180">
        <f>IF(Source!BI93=2,AJ180,0)</f>
        <v>0</v>
      </c>
    </row>
    <row r="181" spans="1:12" ht="14.25">
      <c r="A181" s="74"/>
      <c r="B181" s="74"/>
      <c r="C181" s="74" t="s">
        <v>529</v>
      </c>
      <c r="D181" s="56"/>
      <c r="E181" s="57"/>
      <c r="F181" s="57"/>
      <c r="G181" s="57"/>
      <c r="H181" s="49"/>
      <c r="I181" s="58"/>
      <c r="J181" s="49">
        <f>SUM(Q171:Q184)+SUM(V171:V184)+SUM(X171:X184)+SUM(Y171:Y184)</f>
        <v>4.91</v>
      </c>
      <c r="K181" s="58"/>
      <c r="L181" s="49">
        <f>SUM(U171:U184)+SUM(W171:W184)+SUM(Z171:Z184)+SUM(AA171:AA184)</f>
        <v>183.49</v>
      </c>
    </row>
    <row r="182" spans="1:12" ht="71.25">
      <c r="A182" s="74"/>
      <c r="B182" s="74" t="s">
        <v>133</v>
      </c>
      <c r="C182" s="74" t="s">
        <v>545</v>
      </c>
      <c r="D182" s="56" t="s">
        <v>531</v>
      </c>
      <c r="E182" s="57">
        <f>Source!BZ91</f>
        <v>103</v>
      </c>
      <c r="F182" s="57"/>
      <c r="G182" s="57">
        <f>Source!AT91</f>
        <v>103</v>
      </c>
      <c r="H182" s="49"/>
      <c r="I182" s="58"/>
      <c r="J182" s="49">
        <f>SUM(AG171:AG184)</f>
        <v>5.06</v>
      </c>
      <c r="K182" s="58"/>
      <c r="L182" s="49">
        <f>SUM(AH171:AH184)</f>
        <v>188.99</v>
      </c>
    </row>
    <row r="183" spans="1:12" ht="71.25">
      <c r="A183" s="76"/>
      <c r="B183" s="76" t="s">
        <v>134</v>
      </c>
      <c r="C183" s="76" t="s">
        <v>546</v>
      </c>
      <c r="D183" s="60" t="s">
        <v>531</v>
      </c>
      <c r="E183" s="61">
        <f>Source!CA91</f>
        <v>59</v>
      </c>
      <c r="F183" s="61"/>
      <c r="G183" s="61">
        <f>Source!AU91</f>
        <v>59</v>
      </c>
      <c r="H183" s="62"/>
      <c r="I183" s="63"/>
      <c r="J183" s="62">
        <f>SUM(AI171:AI184)</f>
        <v>2.9</v>
      </c>
      <c r="K183" s="63"/>
      <c r="L183" s="62">
        <f>SUM(AJ171:AJ184)</f>
        <v>108.26</v>
      </c>
    </row>
    <row r="184" spans="3:53" ht="15">
      <c r="C184" s="134" t="s">
        <v>533</v>
      </c>
      <c r="D184" s="134"/>
      <c r="E184" s="134"/>
      <c r="F184" s="134"/>
      <c r="G184" s="134"/>
      <c r="H184" s="134"/>
      <c r="I184" s="134">
        <f>J174+J175+J182+J183+SUM(J180:J180)</f>
        <v>189.19</v>
      </c>
      <c r="J184" s="134"/>
      <c r="K184" s="134">
        <f>L174+L175+L182+L183+SUM(L180:L180)</f>
        <v>1737.9</v>
      </c>
      <c r="L184" s="134"/>
      <c r="O184" s="48">
        <f>I184</f>
        <v>189.19</v>
      </c>
      <c r="P184" s="48">
        <f>K184</f>
        <v>1737.9</v>
      </c>
      <c r="Q184" s="48">
        <f>J174</f>
        <v>4.35</v>
      </c>
      <c r="R184" s="48">
        <f>J174</f>
        <v>4.35</v>
      </c>
      <c r="U184" s="48">
        <f>L174</f>
        <v>162.57</v>
      </c>
      <c r="X184" s="48">
        <f>J176</f>
        <v>0.56</v>
      </c>
      <c r="Z184" s="48">
        <f>L176</f>
        <v>20.92</v>
      </c>
      <c r="AB184" s="48">
        <f>J175</f>
        <v>13.71</v>
      </c>
      <c r="AD184" s="48">
        <f>L175</f>
        <v>181.58</v>
      </c>
      <c r="AF184">
        <f>0</f>
        <v>0</v>
      </c>
      <c r="AN184">
        <f>IF(Source!BI91&lt;=1,J174+J175+J182+J183,0)</f>
        <v>26.02</v>
      </c>
      <c r="AO184">
        <f>IF(Source!BI91&lt;=1,0,0)</f>
        <v>0</v>
      </c>
      <c r="AP184">
        <f>IF(Source!BI91&lt;=1,J175,0)</f>
        <v>13.71</v>
      </c>
      <c r="AQ184">
        <f>IF(Source!BI91&lt;=1,J174,0)</f>
        <v>4.35</v>
      </c>
      <c r="AX184">
        <f>IF(Source!BI91=2,J174+J175+J182+J183,0)</f>
        <v>0</v>
      </c>
      <c r="AY184">
        <f>IF(Source!BI91=2,0,0)</f>
        <v>0</v>
      </c>
      <c r="AZ184">
        <f>IF(Source!BI91=2,J175,0)</f>
        <v>0</v>
      </c>
      <c r="BA184">
        <f>IF(Source!BI91=2,J174,0)</f>
        <v>0</v>
      </c>
    </row>
    <row r="185" spans="1:56" ht="117.75">
      <c r="A185" s="74">
        <v>11</v>
      </c>
      <c r="B185" s="74" t="s">
        <v>557</v>
      </c>
      <c r="C185" s="74" t="s">
        <v>558</v>
      </c>
      <c r="D185" s="56" t="str">
        <f>Source!DW95</f>
        <v>100 м</v>
      </c>
      <c r="E185" s="57">
        <f>Source!K95</f>
        <v>0.03</v>
      </c>
      <c r="F185" s="57"/>
      <c r="G185" s="57">
        <f>Source!I95</f>
        <v>0.03</v>
      </c>
      <c r="H185" s="49"/>
      <c r="I185" s="58"/>
      <c r="J185" s="49"/>
      <c r="K185" s="58"/>
      <c r="L185" s="49"/>
      <c r="AG185">
        <f>ROUND((Source!AT95/100)*((ROUND(Source!AF95*Source!I95,2)+ROUND(Source!AE95*Source!I95,2))),2)</f>
        <v>5.49</v>
      </c>
      <c r="AH185">
        <f>Source!X95</f>
        <v>204.79</v>
      </c>
      <c r="AI185">
        <f>ROUND((Source!AU95/100)*((ROUND(Source!AF95*Source!I95,2)+ROUND(Source!AE95*Source!I95,2))),2)</f>
        <v>2.71</v>
      </c>
      <c r="AJ185">
        <f>Source!Y95</f>
        <v>101.02</v>
      </c>
      <c r="AS185">
        <f>IF(Source!BI95&lt;=1,AH185,0)</f>
        <v>204.79</v>
      </c>
      <c r="AT185">
        <f>IF(Source!BI95&lt;=1,AJ185,0)</f>
        <v>101.02</v>
      </c>
      <c r="BC185">
        <f>IF(Source!BI95=2,AH185,0)</f>
        <v>0</v>
      </c>
      <c r="BD185">
        <f>IF(Source!BI95=2,AJ185,0)</f>
        <v>0</v>
      </c>
    </row>
    <row r="186" ht="38.25">
      <c r="B186" s="45" t="str">
        <f>Source!EO95</f>
        <v>Поправка: М-ка 421/пр 04.08.20 п.58 п.п. б)</v>
      </c>
    </row>
    <row r="187" ht="12.75">
      <c r="C187" s="46" t="str">
        <f>"Объем: "&amp;Source!K95&amp;"=3/"&amp;"100"</f>
        <v>Объем: 0,03=3/100</v>
      </c>
    </row>
    <row r="188" spans="1:12" ht="14.25">
      <c r="A188" s="74"/>
      <c r="B188" s="75">
        <v>1</v>
      </c>
      <c r="C188" s="74" t="s">
        <v>522</v>
      </c>
      <c r="D188" s="56"/>
      <c r="E188" s="57"/>
      <c r="F188" s="57"/>
      <c r="G188" s="57"/>
      <c r="H188" s="49">
        <f>Source!AO95</f>
        <v>141.94</v>
      </c>
      <c r="I188" s="58">
        <f>ROUND(1.15,7)</f>
        <v>1.15</v>
      </c>
      <c r="J188" s="49">
        <f>ROUND(Source!AF95*Source!I95,2)</f>
        <v>4.9</v>
      </c>
      <c r="K188" s="58">
        <f>IF(Source!BA95&lt;&gt;0,Source!BA95,1)</f>
        <v>37.34</v>
      </c>
      <c r="L188" s="49">
        <f>Source!S95</f>
        <v>182.85</v>
      </c>
    </row>
    <row r="189" spans="1:12" ht="14.25">
      <c r="A189" s="74"/>
      <c r="B189" s="75">
        <v>4</v>
      </c>
      <c r="C189" s="74" t="s">
        <v>540</v>
      </c>
      <c r="D189" s="56"/>
      <c r="E189" s="57"/>
      <c r="F189" s="57"/>
      <c r="G189" s="57"/>
      <c r="H189" s="49">
        <f>Source!AL95</f>
        <v>80.4</v>
      </c>
      <c r="I189" s="58"/>
      <c r="J189" s="49">
        <f>ROUND(Source!AC95*Source!I95,2)</f>
        <v>2.41</v>
      </c>
      <c r="K189" s="58">
        <f>IF(Source!BC95&lt;&gt;0,Source!BC95,1)</f>
        <v>6.72</v>
      </c>
      <c r="L189" s="49">
        <f>Source!P95</f>
        <v>16.21</v>
      </c>
    </row>
    <row r="190" spans="1:12" ht="14.25">
      <c r="A190" s="74"/>
      <c r="B190" s="74"/>
      <c r="C190" s="76" t="s">
        <v>525</v>
      </c>
      <c r="D190" s="60" t="s">
        <v>526</v>
      </c>
      <c r="E190" s="61">
        <f>Source!AQ95</f>
        <v>16.64</v>
      </c>
      <c r="F190" s="61">
        <f>ROUND(1.15,7)</f>
        <v>1.15</v>
      </c>
      <c r="G190" s="61">
        <f>ROUND(Source!U95,7)</f>
        <v>0.57408</v>
      </c>
      <c r="H190" s="62"/>
      <c r="I190" s="63"/>
      <c r="J190" s="62"/>
      <c r="K190" s="63"/>
      <c r="L190" s="62"/>
    </row>
    <row r="191" spans="1:12" ht="14.25">
      <c r="A191" s="74"/>
      <c r="B191" s="74"/>
      <c r="C191" s="74" t="s">
        <v>528</v>
      </c>
      <c r="D191" s="56"/>
      <c r="E191" s="57"/>
      <c r="F191" s="57"/>
      <c r="G191" s="57"/>
      <c r="H191" s="49">
        <f>H188+H189</f>
        <v>222.34</v>
      </c>
      <c r="I191" s="58"/>
      <c r="J191" s="49">
        <f>J188+J189</f>
        <v>7.3100000000000005</v>
      </c>
      <c r="K191" s="58"/>
      <c r="L191" s="49">
        <f>L188+L189</f>
        <v>199.06</v>
      </c>
    </row>
    <row r="192" spans="1:56" ht="42.75">
      <c r="A192" s="74" t="s">
        <v>188</v>
      </c>
      <c r="B192" s="74" t="s">
        <v>559</v>
      </c>
      <c r="C192" s="74" t="str">
        <f>Source!G97</f>
        <v>Профили стыкоперекрывающие из алюминиевых сплавов (порожки) с покрытием, шириной 60 мм</v>
      </c>
      <c r="D192" s="56" t="str">
        <f>Source!DW97</f>
        <v>м</v>
      </c>
      <c r="E192" s="57">
        <f>SmtRes!AT198</f>
        <v>105</v>
      </c>
      <c r="F192" s="57"/>
      <c r="G192" s="57">
        <f>Source!I97</f>
        <v>3.15</v>
      </c>
      <c r="H192" s="49">
        <f>Source!AL97+Source!AO97+Source!AM97</f>
        <v>22.58</v>
      </c>
      <c r="I192" s="58"/>
      <c r="J192" s="49">
        <f>ROUND(Source!AC97*Source!I97,2)+ROUND((((Source!ET97)-(Source!EU97))+Source!AE97)*Source!I97,2)+ROUND(Source!AF97*Source!I97,2)</f>
        <v>71.13</v>
      </c>
      <c r="K192" s="58">
        <f>IF(Source!BC97&lt;&gt;0,Source!BC97,1)</f>
        <v>6.72</v>
      </c>
      <c r="L192" s="49">
        <f>Source!O97</f>
        <v>477.97</v>
      </c>
      <c r="AF192" s="48">
        <f>J192</f>
        <v>71.13</v>
      </c>
      <c r="AG192">
        <f>ROUND((Source!AT97/100)*((ROUND(Source!AF97*Source!I97,2)+ROUND(Source!AE97*Source!I97,2))),2)</f>
        <v>0</v>
      </c>
      <c r="AH192">
        <f>Source!X97</f>
        <v>0</v>
      </c>
      <c r="AI192">
        <f>ROUND((Source!AU97/100)*((ROUND(Source!AF97*Source!I97,2)+ROUND(Source!AE97*Source!I97,2))),2)</f>
        <v>0</v>
      </c>
      <c r="AJ192">
        <f>Source!Y97</f>
        <v>0</v>
      </c>
      <c r="AN192">
        <f>IF(Source!BI97&lt;=1,J192,0)</f>
        <v>71.13</v>
      </c>
      <c r="AO192">
        <f>IF(Source!BI97&lt;=1,J192,0)</f>
        <v>71.13</v>
      </c>
      <c r="AS192">
        <f>IF(Source!BI97&lt;=1,AH192,0)</f>
        <v>0</v>
      </c>
      <c r="AT192">
        <f>IF(Source!BI97&lt;=1,AJ192,0)</f>
        <v>0</v>
      </c>
      <c r="AX192">
        <f>IF(Source!BI97=2,J192,0)</f>
        <v>0</v>
      </c>
      <c r="AY192">
        <f>IF(Source!BI97=2,J192,0)</f>
        <v>0</v>
      </c>
      <c r="BC192">
        <f>IF(Source!BI97=2,AH192,0)</f>
        <v>0</v>
      </c>
      <c r="BD192">
        <f>IF(Source!BI97=2,AJ192,0)</f>
        <v>0</v>
      </c>
    </row>
    <row r="193" spans="1:12" ht="14.25">
      <c r="A193" s="74"/>
      <c r="B193" s="74"/>
      <c r="C193" s="74" t="s">
        <v>529</v>
      </c>
      <c r="D193" s="56"/>
      <c r="E193" s="57"/>
      <c r="F193" s="57"/>
      <c r="G193" s="57"/>
      <c r="H193" s="49"/>
      <c r="I193" s="58"/>
      <c r="J193" s="49">
        <f>SUM(Q185:Q196)+SUM(V185:V196)+SUM(X185:X196)+SUM(Y185:Y196)</f>
        <v>4.9</v>
      </c>
      <c r="K193" s="58"/>
      <c r="L193" s="49">
        <f>SUM(U185:U196)+SUM(W185:W196)+SUM(Z185:Z196)+SUM(AA185:AA196)</f>
        <v>182.85</v>
      </c>
    </row>
    <row r="194" spans="1:12" ht="14.25">
      <c r="A194" s="74"/>
      <c r="B194" s="74" t="s">
        <v>186</v>
      </c>
      <c r="C194" s="74" t="s">
        <v>560</v>
      </c>
      <c r="D194" s="56" t="s">
        <v>531</v>
      </c>
      <c r="E194" s="57">
        <f>Source!BZ95</f>
        <v>112</v>
      </c>
      <c r="F194" s="57"/>
      <c r="G194" s="57">
        <f>Source!AT95</f>
        <v>112</v>
      </c>
      <c r="H194" s="49"/>
      <c r="I194" s="58"/>
      <c r="J194" s="49">
        <f>SUM(AG185:AG196)</f>
        <v>5.49</v>
      </c>
      <c r="K194" s="58"/>
      <c r="L194" s="49">
        <f>SUM(AH185:AH196)</f>
        <v>204.79</v>
      </c>
    </row>
    <row r="195" spans="1:12" ht="28.5">
      <c r="A195" s="76"/>
      <c r="B195" s="76" t="s">
        <v>561</v>
      </c>
      <c r="C195" s="76" t="s">
        <v>562</v>
      </c>
      <c r="D195" s="60" t="s">
        <v>531</v>
      </c>
      <c r="E195" s="61">
        <f>Source!CA95</f>
        <v>65</v>
      </c>
      <c r="F195" s="61">
        <f>ROUND(0.85,7)</f>
        <v>0.85</v>
      </c>
      <c r="G195" s="61">
        <f>Source!AU95</f>
        <v>55.25</v>
      </c>
      <c r="H195" s="62"/>
      <c r="I195" s="63"/>
      <c r="J195" s="62">
        <f>SUM(AI185:AI196)</f>
        <v>2.71</v>
      </c>
      <c r="K195" s="63"/>
      <c r="L195" s="62">
        <f>SUM(AJ185:AJ196)</f>
        <v>101.02</v>
      </c>
    </row>
    <row r="196" spans="3:53" ht="15">
      <c r="C196" s="134" t="s">
        <v>533</v>
      </c>
      <c r="D196" s="134"/>
      <c r="E196" s="134"/>
      <c r="F196" s="134"/>
      <c r="G196" s="134"/>
      <c r="H196" s="134"/>
      <c r="I196" s="134">
        <f>J188+J189+J194+J195+SUM(J192:J192)</f>
        <v>86.64</v>
      </c>
      <c r="J196" s="134"/>
      <c r="K196" s="134">
        <f>L188+L189+L194+L195+SUM(L192:L192)</f>
        <v>982.84</v>
      </c>
      <c r="L196" s="134"/>
      <c r="O196" s="48">
        <f>I196</f>
        <v>86.64</v>
      </c>
      <c r="P196" s="48">
        <f>K196</f>
        <v>982.84</v>
      </c>
      <c r="Q196" s="48">
        <f>J188</f>
        <v>4.9</v>
      </c>
      <c r="R196" s="48">
        <f>J188</f>
        <v>4.9</v>
      </c>
      <c r="U196" s="48">
        <f>L188</f>
        <v>182.85</v>
      </c>
      <c r="X196">
        <f>0</f>
        <v>0</v>
      </c>
      <c r="Z196">
        <f>0</f>
        <v>0</v>
      </c>
      <c r="AB196">
        <f>0</f>
        <v>0</v>
      </c>
      <c r="AD196">
        <f>0</f>
        <v>0</v>
      </c>
      <c r="AF196" s="48">
        <f>J189</f>
        <v>2.41</v>
      </c>
      <c r="AN196">
        <f>IF(Source!BI95&lt;=1,J188+J189+J194+J195,0)</f>
        <v>15.510000000000002</v>
      </c>
      <c r="AO196">
        <f>IF(Source!BI95&lt;=1,J189,0)</f>
        <v>2.41</v>
      </c>
      <c r="AP196">
        <f>IF(Source!BI95&lt;=1,0,0)</f>
        <v>0</v>
      </c>
      <c r="AQ196">
        <f>IF(Source!BI95&lt;=1,J188,0)</f>
        <v>4.9</v>
      </c>
      <c r="AX196">
        <f>IF(Source!BI95=2,J188+J189+J194+J195,0)</f>
        <v>0</v>
      </c>
      <c r="AY196">
        <f>IF(Source!BI95=2,J189,0)</f>
        <v>0</v>
      </c>
      <c r="AZ196">
        <f>IF(Source!BI95=2,0,0)</f>
        <v>0</v>
      </c>
      <c r="BA196">
        <f>IF(Source!BI95=2,J188,0)</f>
        <v>0</v>
      </c>
    </row>
    <row r="197" spans="1:56" ht="146.25">
      <c r="A197" s="74">
        <v>12</v>
      </c>
      <c r="B197" s="74" t="s">
        <v>563</v>
      </c>
      <c r="C197" s="74" t="s">
        <v>564</v>
      </c>
      <c r="D197" s="56" t="str">
        <f>Source!DW99</f>
        <v>100 м2</v>
      </c>
      <c r="E197" s="57">
        <f>Source!K99</f>
        <v>0.056</v>
      </c>
      <c r="F197" s="57"/>
      <c r="G197" s="57">
        <f>Source!I99</f>
        <v>0.056</v>
      </c>
      <c r="H197" s="49"/>
      <c r="I197" s="58"/>
      <c r="J197" s="49"/>
      <c r="K197" s="58"/>
      <c r="L197" s="49"/>
      <c r="AG197">
        <f>ROUND((Source!AT99/100)*((ROUND(Source!AF99*Source!I99,2)+ROUND(Source!AE99*Source!I99,2))),2)</f>
        <v>62.54</v>
      </c>
      <c r="AH197">
        <f>Source!X99</f>
        <v>2335.49</v>
      </c>
      <c r="AI197">
        <f>ROUND((Source!AU99/100)*((ROUND(Source!AF99*Source!I99,2)+ROUND(Source!AE99*Source!I99,2))),2)</f>
        <v>27.07</v>
      </c>
      <c r="AJ197">
        <f>Source!Y99</f>
        <v>1010.96</v>
      </c>
      <c r="AS197">
        <f>IF(Source!BI99&lt;=1,AH197,0)</f>
        <v>2335.49</v>
      </c>
      <c r="AT197">
        <f>IF(Source!BI99&lt;=1,AJ197,0)</f>
        <v>1010.96</v>
      </c>
      <c r="BC197">
        <f>IF(Source!BI99=2,AH197,0)</f>
        <v>0</v>
      </c>
      <c r="BD197">
        <f>IF(Source!BI99=2,AJ197,0)</f>
        <v>0</v>
      </c>
    </row>
    <row r="198" ht="38.25">
      <c r="B198" s="45" t="str">
        <f>Source!EO99</f>
        <v>Поправка: М-ка 421/пр 04.08.20 п.58 п.п. б)</v>
      </c>
    </row>
    <row r="199" ht="12.75">
      <c r="C199" s="46" t="str">
        <f>"Объем: "&amp;Source!K99&amp;"=5,6/"&amp;"100"</f>
        <v>Объем: 0,056=5,6/100</v>
      </c>
    </row>
    <row r="200" spans="1:12" ht="14.25">
      <c r="A200" s="74"/>
      <c r="B200" s="75">
        <v>1</v>
      </c>
      <c r="C200" s="74" t="s">
        <v>522</v>
      </c>
      <c r="D200" s="56"/>
      <c r="E200" s="57"/>
      <c r="F200" s="57"/>
      <c r="G200" s="57"/>
      <c r="H200" s="49">
        <f>Source!AO99</f>
        <v>752.94</v>
      </c>
      <c r="I200" s="58">
        <f>ROUND(1.15,7)</f>
        <v>1.15</v>
      </c>
      <c r="J200" s="49">
        <f>ROUND(Source!AF99*Source!I99,2)</f>
        <v>48.49</v>
      </c>
      <c r="K200" s="58">
        <f>IF(Source!BA99&lt;&gt;0,Source!BA99,1)</f>
        <v>37.34</v>
      </c>
      <c r="L200" s="49">
        <f>Source!S99</f>
        <v>1810.59</v>
      </c>
    </row>
    <row r="201" spans="1:12" ht="14.25">
      <c r="A201" s="74"/>
      <c r="B201" s="75">
        <v>3</v>
      </c>
      <c r="C201" s="74" t="s">
        <v>523</v>
      </c>
      <c r="D201" s="56"/>
      <c r="E201" s="57"/>
      <c r="F201" s="57"/>
      <c r="G201" s="57"/>
      <c r="H201" s="49">
        <f>Source!AM99</f>
        <v>881.96</v>
      </c>
      <c r="I201" s="58">
        <f>ROUND(1.25,7)</f>
        <v>1.25</v>
      </c>
      <c r="J201" s="49">
        <f>ROUND(((((Source!ET99*ROUND(1.25,7)))-((Source!EU99*ROUND(1.25,7))))+Source!AE99)*Source!I99,2)</f>
        <v>61.74</v>
      </c>
      <c r="K201" s="58">
        <f>IF(Source!BB99&lt;&gt;0,Source!BB99,1)</f>
        <v>13.24</v>
      </c>
      <c r="L201" s="49">
        <f>Source!Q99</f>
        <v>817.41</v>
      </c>
    </row>
    <row r="202" spans="1:12" ht="14.25">
      <c r="A202" s="74"/>
      <c r="B202" s="75">
        <v>2</v>
      </c>
      <c r="C202" s="74" t="s">
        <v>524</v>
      </c>
      <c r="D202" s="56"/>
      <c r="E202" s="57"/>
      <c r="F202" s="57"/>
      <c r="G202" s="57"/>
      <c r="H202" s="49">
        <f>Source!AN99</f>
        <v>134.63</v>
      </c>
      <c r="I202" s="58">
        <f>ROUND(1.25,7)</f>
        <v>1.25</v>
      </c>
      <c r="J202" s="59">
        <f>ROUND(Source!AE99*Source!I99,2)</f>
        <v>9.42</v>
      </c>
      <c r="K202" s="58">
        <f>IF(Source!BS99&lt;&gt;0,Source!BS99,1)</f>
        <v>37.34</v>
      </c>
      <c r="L202" s="59">
        <f>Source!R99</f>
        <v>351.9</v>
      </c>
    </row>
    <row r="203" spans="1:12" ht="14.25">
      <c r="A203" s="74"/>
      <c r="B203" s="75">
        <v>4</v>
      </c>
      <c r="C203" s="74" t="s">
        <v>540</v>
      </c>
      <c r="D203" s="56"/>
      <c r="E203" s="57"/>
      <c r="F203" s="57"/>
      <c r="G203" s="57"/>
      <c r="H203" s="49">
        <f>Source!AL99</f>
        <v>1402.15</v>
      </c>
      <c r="I203" s="58"/>
      <c r="J203" s="49">
        <f>ROUND(Source!AC99*Source!I99,2)</f>
        <v>78.52</v>
      </c>
      <c r="K203" s="58">
        <f>IF(Source!BC99&lt;&gt;0,Source!BC99,1)</f>
        <v>6.72</v>
      </c>
      <c r="L203" s="49">
        <f>Source!P99</f>
        <v>527.66</v>
      </c>
    </row>
    <row r="204" spans="1:12" ht="14.25">
      <c r="A204" s="74"/>
      <c r="B204" s="74"/>
      <c r="C204" s="74" t="s">
        <v>525</v>
      </c>
      <c r="D204" s="56" t="s">
        <v>526</v>
      </c>
      <c r="E204" s="57">
        <f>Source!AQ99</f>
        <v>80.1</v>
      </c>
      <c r="F204" s="57">
        <f>ROUND(1.15,7)</f>
        <v>1.15</v>
      </c>
      <c r="G204" s="112">
        <f>ROUND(Source!U99,7)</f>
        <v>5.15844</v>
      </c>
      <c r="H204" s="49"/>
      <c r="I204" s="58"/>
      <c r="J204" s="49"/>
      <c r="K204" s="58"/>
      <c r="L204" s="49"/>
    </row>
    <row r="205" spans="1:12" ht="14.25">
      <c r="A205" s="74"/>
      <c r="B205" s="74"/>
      <c r="C205" s="76" t="s">
        <v>527</v>
      </c>
      <c r="D205" s="60" t="s">
        <v>526</v>
      </c>
      <c r="E205" s="61">
        <f>Source!AR99</f>
        <v>10.24</v>
      </c>
      <c r="F205" s="61">
        <f>ROUND(1.25,7)</f>
        <v>1.25</v>
      </c>
      <c r="G205" s="113">
        <f>ROUND(Source!V99,7)</f>
        <v>0.7168</v>
      </c>
      <c r="H205" s="62"/>
      <c r="I205" s="63"/>
      <c r="J205" s="62"/>
      <c r="K205" s="63"/>
      <c r="L205" s="62"/>
    </row>
    <row r="206" spans="1:12" ht="14.25">
      <c r="A206" s="74"/>
      <c r="B206" s="74"/>
      <c r="C206" s="74" t="s">
        <v>528</v>
      </c>
      <c r="D206" s="56"/>
      <c r="E206" s="57"/>
      <c r="F206" s="57"/>
      <c r="G206" s="57"/>
      <c r="H206" s="49">
        <f>H200+H201+H203</f>
        <v>3037.05</v>
      </c>
      <c r="I206" s="58"/>
      <c r="J206" s="49">
        <f>J200+J201+J203</f>
        <v>188.75</v>
      </c>
      <c r="K206" s="58"/>
      <c r="L206" s="49">
        <f>L200+L201+L203</f>
        <v>3155.66</v>
      </c>
    </row>
    <row r="207" spans="1:56" ht="128.25">
      <c r="A207" s="74" t="s">
        <v>200</v>
      </c>
      <c r="B207" s="74" t="s">
        <v>144</v>
      </c>
      <c r="C207" s="74" t="str">
        <f>Source!G101</f>
        <v>Дверной блок светопрозрачный, распашной одностворчатый (1320*2360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v>
      </c>
      <c r="D207" s="56" t="str">
        <f>Source!DW101</f>
        <v>КОМП</v>
      </c>
      <c r="E207" s="112">
        <f>SmtRes!AT220</f>
        <v>35.714286</v>
      </c>
      <c r="F207" s="57"/>
      <c r="G207" s="57">
        <f>Source!I101</f>
        <v>2</v>
      </c>
      <c r="H207" s="49">
        <f>Source!AL101+Source!AO101+Source!AM101</f>
        <v>104160</v>
      </c>
      <c r="I207" s="58"/>
      <c r="J207" s="49">
        <f>ROUND(Source!AC101*Source!I101,2)+ROUND((((Source!ET101)-(Source!EU101))+Source!AE101)*Source!I101,2)+ROUND(Source!AF101*Source!I101,2)</f>
        <v>208320</v>
      </c>
      <c r="K207" s="58">
        <v>1</v>
      </c>
      <c r="L207" s="49">
        <f>K207*J207</f>
        <v>208320</v>
      </c>
      <c r="AF207" s="48">
        <f>J207</f>
        <v>208320</v>
      </c>
      <c r="AG207">
        <f>ROUND((Source!AT101/100)*((ROUND(Source!AF101*Source!I101,2)+ROUND(Source!AE101*Source!I101,2))),2)</f>
        <v>0</v>
      </c>
      <c r="AH207">
        <f>Source!X101</f>
        <v>0</v>
      </c>
      <c r="AI207">
        <f>ROUND((Source!AU101/100)*((ROUND(Source!AF101*Source!I101,2)+ROUND(Source!AE101*Source!I101,2))),2)</f>
        <v>0</v>
      </c>
      <c r="AJ207">
        <f>Source!Y101</f>
        <v>0</v>
      </c>
      <c r="AN207">
        <f>IF(Source!BI101&lt;=1,J207,0)</f>
        <v>0</v>
      </c>
      <c r="AO207">
        <f>IF(Source!BI101&lt;=1,J207,0)</f>
        <v>0</v>
      </c>
      <c r="AS207">
        <f>IF(Source!BI101&lt;=1,AH207,0)</f>
        <v>0</v>
      </c>
      <c r="AT207">
        <f>IF(Source!BI101&lt;=1,AJ207,0)</f>
        <v>0</v>
      </c>
      <c r="AX207">
        <f>IF(Source!BI101=2,J207,0)</f>
        <v>208320</v>
      </c>
      <c r="AY207">
        <f>IF(Source!BI101=2,J207,0)</f>
        <v>208320</v>
      </c>
      <c r="BC207">
        <f>IF(Source!BI101=2,AH207,0)</f>
        <v>0</v>
      </c>
      <c r="BD207">
        <f>IF(Source!BI101=2,AJ207,0)</f>
        <v>0</v>
      </c>
    </row>
    <row r="208" spans="1:12" ht="14.25">
      <c r="A208" s="74"/>
      <c r="B208" s="74"/>
      <c r="C208" s="74" t="s">
        <v>529</v>
      </c>
      <c r="D208" s="56"/>
      <c r="E208" s="57"/>
      <c r="F208" s="57"/>
      <c r="G208" s="57"/>
      <c r="H208" s="49"/>
      <c r="I208" s="58"/>
      <c r="J208" s="49">
        <f>SUM(Q197:Q211)+SUM(V197:V211)+SUM(X197:X211)+SUM(Y197:Y211)</f>
        <v>57.910000000000004</v>
      </c>
      <c r="K208" s="58"/>
      <c r="L208" s="49">
        <f>SUM(U197:U211)+SUM(W197:W211)+SUM(Z197:Z211)+SUM(AA197:AA211)</f>
        <v>2162.49</v>
      </c>
    </row>
    <row r="209" spans="1:12" ht="14.25">
      <c r="A209" s="74"/>
      <c r="B209" s="74" t="s">
        <v>198</v>
      </c>
      <c r="C209" s="74" t="s">
        <v>565</v>
      </c>
      <c r="D209" s="56" t="s">
        <v>531</v>
      </c>
      <c r="E209" s="57">
        <f>Source!BZ99</f>
        <v>108</v>
      </c>
      <c r="F209" s="57"/>
      <c r="G209" s="57">
        <f>Source!AT99</f>
        <v>108</v>
      </c>
      <c r="H209" s="49"/>
      <c r="I209" s="58"/>
      <c r="J209" s="49">
        <f>SUM(AG197:AG211)</f>
        <v>62.54</v>
      </c>
      <c r="K209" s="58"/>
      <c r="L209" s="49">
        <f>SUM(AH197:AH211)</f>
        <v>2335.49</v>
      </c>
    </row>
    <row r="210" spans="1:12" ht="28.5">
      <c r="A210" s="76"/>
      <c r="B210" s="76" t="s">
        <v>566</v>
      </c>
      <c r="C210" s="76" t="s">
        <v>567</v>
      </c>
      <c r="D210" s="60" t="s">
        <v>531</v>
      </c>
      <c r="E210" s="61">
        <f>Source!CA99</f>
        <v>55</v>
      </c>
      <c r="F210" s="61">
        <f>ROUND(0.85,7)</f>
        <v>0.85</v>
      </c>
      <c r="G210" s="61">
        <f>Source!AU99</f>
        <v>46.75</v>
      </c>
      <c r="H210" s="62"/>
      <c r="I210" s="63"/>
      <c r="J210" s="62">
        <f>SUM(AI197:AI211)</f>
        <v>27.07</v>
      </c>
      <c r="K210" s="63"/>
      <c r="L210" s="62">
        <f>SUM(AJ197:AJ211)</f>
        <v>1010.96</v>
      </c>
    </row>
    <row r="211" spans="3:53" ht="15">
      <c r="C211" s="134" t="s">
        <v>533</v>
      </c>
      <c r="D211" s="134"/>
      <c r="E211" s="134"/>
      <c r="F211" s="134"/>
      <c r="G211" s="134"/>
      <c r="H211" s="134"/>
      <c r="I211" s="134">
        <f>J200+J201+J203+J209+J210+SUM(J207:J207)</f>
        <v>208598.36</v>
      </c>
      <c r="J211" s="134"/>
      <c r="K211" s="134">
        <f>L200+L201+L203+L209+L210+SUM(L207:L207)</f>
        <v>214822.11</v>
      </c>
      <c r="L211" s="134"/>
      <c r="O211" s="48">
        <f>I211</f>
        <v>208598.36</v>
      </c>
      <c r="P211" s="48">
        <f>K211</f>
        <v>214822.11</v>
      </c>
      <c r="Q211" s="48">
        <f>J200</f>
        <v>48.49</v>
      </c>
      <c r="R211" s="48">
        <f>J200</f>
        <v>48.49</v>
      </c>
      <c r="U211" s="48">
        <f>L200</f>
        <v>1810.59</v>
      </c>
      <c r="X211" s="48">
        <f>J202</f>
        <v>9.42</v>
      </c>
      <c r="Z211" s="48">
        <f>L202</f>
        <v>351.9</v>
      </c>
      <c r="AB211" s="48">
        <f>J201</f>
        <v>61.74</v>
      </c>
      <c r="AD211" s="48">
        <f>L201</f>
        <v>817.41</v>
      </c>
      <c r="AF211" s="48">
        <f>J203</f>
        <v>78.52</v>
      </c>
      <c r="AN211">
        <f>IF(Source!BI99&lt;=1,J200+J201+J203+J209+J210,0)</f>
        <v>278.36</v>
      </c>
      <c r="AO211">
        <f>IF(Source!BI99&lt;=1,J203,0)</f>
        <v>78.52</v>
      </c>
      <c r="AP211">
        <f>IF(Source!BI99&lt;=1,J201,0)</f>
        <v>61.74</v>
      </c>
      <c r="AQ211">
        <f>IF(Source!BI99&lt;=1,J200,0)</f>
        <v>48.49</v>
      </c>
      <c r="AX211">
        <f>IF(Source!BI99=2,J200+J201+J203+J209+J210,0)</f>
        <v>0</v>
      </c>
      <c r="AY211">
        <f>IF(Source!BI99=2,J203,0)</f>
        <v>0</v>
      </c>
      <c r="AZ211">
        <f>IF(Source!BI99=2,J201,0)</f>
        <v>0</v>
      </c>
      <c r="BA211">
        <f>IF(Source!BI99=2,J200,0)</f>
        <v>0</v>
      </c>
    </row>
    <row r="212" spans="1:56" ht="103.5">
      <c r="A212" s="74">
        <v>13</v>
      </c>
      <c r="B212" s="74" t="s">
        <v>568</v>
      </c>
      <c r="C212" s="74" t="s">
        <v>569</v>
      </c>
      <c r="D212" s="56" t="str">
        <f>Source!DW103</f>
        <v>100 ШТ</v>
      </c>
      <c r="E212" s="57">
        <f>Source!K103</f>
        <v>0.02</v>
      </c>
      <c r="F212" s="57"/>
      <c r="G212" s="57">
        <f>Source!I103</f>
        <v>0.02</v>
      </c>
      <c r="H212" s="49"/>
      <c r="I212" s="58"/>
      <c r="J212" s="49"/>
      <c r="K212" s="58"/>
      <c r="L212" s="49"/>
      <c r="AG212">
        <f>ROUND((Source!AT103/100)*((ROUND(Source!AF103*Source!I103,2)+ROUND(Source!AE103*Source!I103,2))),2)</f>
        <v>6.33</v>
      </c>
      <c r="AH212">
        <f>Source!X103</f>
        <v>236.1</v>
      </c>
      <c r="AI212">
        <f>ROUND((Source!AU103/100)*((ROUND(Source!AF103*Source!I103,2)+ROUND(Source!AE103*Source!I103,2))),2)</f>
        <v>2.74</v>
      </c>
      <c r="AJ212">
        <f>Source!Y103</f>
        <v>102.2</v>
      </c>
      <c r="AS212">
        <f>IF(Source!BI103&lt;=1,AH212,0)</f>
        <v>236.1</v>
      </c>
      <c r="AT212">
        <f>IF(Source!BI103&lt;=1,AJ212,0)</f>
        <v>102.2</v>
      </c>
      <c r="BC212">
        <f>IF(Source!BI103=2,AH212,0)</f>
        <v>0</v>
      </c>
      <c r="BD212">
        <f>IF(Source!BI103=2,AJ212,0)</f>
        <v>0</v>
      </c>
    </row>
    <row r="213" ht="38.25">
      <c r="B213" s="45" t="str">
        <f>Source!EO103</f>
        <v>Поправка: М-ка 421/пр 04.08.20 п.58 п.п. б)</v>
      </c>
    </row>
    <row r="214" ht="12.75">
      <c r="C214" s="46" t="str">
        <f>"Объем: "&amp;Source!K103&amp;"=2/"&amp;"100"</f>
        <v>Объем: 0,02=2/100</v>
      </c>
    </row>
    <row r="215" spans="1:12" ht="14.25">
      <c r="A215" s="74"/>
      <c r="B215" s="75">
        <v>1</v>
      </c>
      <c r="C215" s="74" t="s">
        <v>522</v>
      </c>
      <c r="D215" s="56"/>
      <c r="E215" s="57"/>
      <c r="F215" s="57"/>
      <c r="G215" s="57"/>
      <c r="H215" s="49">
        <f>Source!AO103</f>
        <v>252.59</v>
      </c>
      <c r="I215" s="58">
        <f>ROUND(1.15,7)</f>
        <v>1.15</v>
      </c>
      <c r="J215" s="49">
        <f>ROUND(Source!AF103*Source!I103,2)</f>
        <v>5.81</v>
      </c>
      <c r="K215" s="58">
        <f>IF(Source!BA103&lt;&gt;0,Source!BA103,1)</f>
        <v>37.34</v>
      </c>
      <c r="L215" s="49">
        <f>Source!S103</f>
        <v>216.93</v>
      </c>
    </row>
    <row r="216" spans="1:12" ht="14.25">
      <c r="A216" s="74"/>
      <c r="B216" s="75">
        <v>3</v>
      </c>
      <c r="C216" s="74" t="s">
        <v>523</v>
      </c>
      <c r="D216" s="56"/>
      <c r="E216" s="57"/>
      <c r="F216" s="57"/>
      <c r="G216" s="57"/>
      <c r="H216" s="49">
        <f>Source!AM103</f>
        <v>13.68</v>
      </c>
      <c r="I216" s="58">
        <f>ROUND(1.25,7)</f>
        <v>1.25</v>
      </c>
      <c r="J216" s="49">
        <f>ROUND(((((Source!ET103*ROUND(1.25,7)))-((Source!EU103*ROUND(1.25,7))))+Source!AE103)*Source!I103,2)</f>
        <v>0.34</v>
      </c>
      <c r="K216" s="58">
        <f>IF(Source!BB103&lt;&gt;0,Source!BB103,1)</f>
        <v>13.24</v>
      </c>
      <c r="L216" s="49">
        <f>Source!Q103</f>
        <v>4.53</v>
      </c>
    </row>
    <row r="217" spans="1:12" ht="14.25">
      <c r="A217" s="74"/>
      <c r="B217" s="75">
        <v>2</v>
      </c>
      <c r="C217" s="74" t="s">
        <v>524</v>
      </c>
      <c r="D217" s="56"/>
      <c r="E217" s="57"/>
      <c r="F217" s="57"/>
      <c r="G217" s="57"/>
      <c r="H217" s="49">
        <f>Source!AN103</f>
        <v>1.8</v>
      </c>
      <c r="I217" s="58">
        <f>ROUND(1.25,7)</f>
        <v>1.25</v>
      </c>
      <c r="J217" s="59">
        <f>ROUND(Source!AE103*Source!I103,2)</f>
        <v>0.05</v>
      </c>
      <c r="K217" s="58">
        <f>IF(Source!BS103&lt;&gt;0,Source!BS103,1)</f>
        <v>37.34</v>
      </c>
      <c r="L217" s="59">
        <f>Source!R103</f>
        <v>1.68</v>
      </c>
    </row>
    <row r="218" spans="1:12" ht="14.25">
      <c r="A218" s="74"/>
      <c r="B218" s="75">
        <v>4</v>
      </c>
      <c r="C218" s="74" t="s">
        <v>540</v>
      </c>
      <c r="D218" s="56"/>
      <c r="E218" s="57"/>
      <c r="F218" s="57"/>
      <c r="G218" s="57"/>
      <c r="H218" s="49">
        <f>Source!AL103</f>
        <v>2.2</v>
      </c>
      <c r="I218" s="58"/>
      <c r="J218" s="49">
        <f>ROUND(Source!AC103*Source!I103,2)</f>
        <v>0.04</v>
      </c>
      <c r="K218" s="58">
        <f>IF(Source!BC103&lt;&gt;0,Source!BC103,1)</f>
        <v>6.72</v>
      </c>
      <c r="L218" s="49">
        <f>Source!P103</f>
        <v>0.3</v>
      </c>
    </row>
    <row r="219" spans="1:12" ht="14.25">
      <c r="A219" s="74"/>
      <c r="B219" s="74"/>
      <c r="C219" s="74" t="s">
        <v>525</v>
      </c>
      <c r="D219" s="56" t="s">
        <v>526</v>
      </c>
      <c r="E219" s="57">
        <f>Source!AQ103</f>
        <v>26.56</v>
      </c>
      <c r="F219" s="57">
        <f>ROUND(1.15,7)</f>
        <v>1.15</v>
      </c>
      <c r="G219" s="112">
        <f>ROUND(Source!U103,7)</f>
        <v>0.61088</v>
      </c>
      <c r="H219" s="49"/>
      <c r="I219" s="58"/>
      <c r="J219" s="49"/>
      <c r="K219" s="58"/>
      <c r="L219" s="49"/>
    </row>
    <row r="220" spans="1:12" ht="14.25">
      <c r="A220" s="74"/>
      <c r="B220" s="74"/>
      <c r="C220" s="76" t="s">
        <v>527</v>
      </c>
      <c r="D220" s="60" t="s">
        <v>526</v>
      </c>
      <c r="E220" s="61">
        <f>Source!AR103</f>
        <v>0.14</v>
      </c>
      <c r="F220" s="61">
        <f>ROUND(1.25,7)</f>
        <v>1.25</v>
      </c>
      <c r="G220" s="114">
        <f>ROUND(Source!V103,7)</f>
        <v>0.0035</v>
      </c>
      <c r="H220" s="62"/>
      <c r="I220" s="63"/>
      <c r="J220" s="62"/>
      <c r="K220" s="63"/>
      <c r="L220" s="62"/>
    </row>
    <row r="221" spans="1:12" ht="14.25">
      <c r="A221" s="74"/>
      <c r="B221" s="74"/>
      <c r="C221" s="74" t="s">
        <v>528</v>
      </c>
      <c r="D221" s="56"/>
      <c r="E221" s="57"/>
      <c r="F221" s="57"/>
      <c r="G221" s="57"/>
      <c r="H221" s="49">
        <f>H215+H216+H218</f>
        <v>268.46999999999997</v>
      </c>
      <c r="I221" s="58"/>
      <c r="J221" s="49">
        <f>J215+J216+J218</f>
        <v>6.1899999999999995</v>
      </c>
      <c r="K221" s="58"/>
      <c r="L221" s="49">
        <f>L215+L216+L218</f>
        <v>221.76000000000002</v>
      </c>
    </row>
    <row r="222" spans="1:12" ht="14.25">
      <c r="A222" s="74"/>
      <c r="B222" s="74"/>
      <c r="C222" s="74" t="s">
        <v>529</v>
      </c>
      <c r="D222" s="56"/>
      <c r="E222" s="57"/>
      <c r="F222" s="57"/>
      <c r="G222" s="57"/>
      <c r="H222" s="49"/>
      <c r="I222" s="58"/>
      <c r="J222" s="49">
        <f>SUM(Q212:Q225)+SUM(V212:V225)+SUM(X212:X225)+SUM(Y212:Y225)</f>
        <v>5.859999999999999</v>
      </c>
      <c r="K222" s="58"/>
      <c r="L222" s="49">
        <f>SUM(U212:U225)+SUM(W212:W225)+SUM(Z212:Z225)+SUM(AA212:AA225)</f>
        <v>218.61</v>
      </c>
    </row>
    <row r="223" spans="1:12" ht="14.25">
      <c r="A223" s="74"/>
      <c r="B223" s="74" t="s">
        <v>198</v>
      </c>
      <c r="C223" s="74" t="s">
        <v>565</v>
      </c>
      <c r="D223" s="56" t="s">
        <v>531</v>
      </c>
      <c r="E223" s="57">
        <f>Source!BZ103</f>
        <v>108</v>
      </c>
      <c r="F223" s="57"/>
      <c r="G223" s="57">
        <f>Source!AT103</f>
        <v>108</v>
      </c>
      <c r="H223" s="49"/>
      <c r="I223" s="58"/>
      <c r="J223" s="49">
        <f>SUM(AG212:AG225)</f>
        <v>6.33</v>
      </c>
      <c r="K223" s="58"/>
      <c r="L223" s="49">
        <f>SUM(AH212:AH225)</f>
        <v>236.1</v>
      </c>
    </row>
    <row r="224" spans="1:12" ht="28.5">
      <c r="A224" s="76"/>
      <c r="B224" s="76" t="s">
        <v>566</v>
      </c>
      <c r="C224" s="76" t="s">
        <v>567</v>
      </c>
      <c r="D224" s="60" t="s">
        <v>531</v>
      </c>
      <c r="E224" s="61">
        <f>Source!CA103</f>
        <v>55</v>
      </c>
      <c r="F224" s="61">
        <f>ROUND(0.85,7)</f>
        <v>0.85</v>
      </c>
      <c r="G224" s="61">
        <f>Source!AU103</f>
        <v>46.75</v>
      </c>
      <c r="H224" s="62"/>
      <c r="I224" s="63"/>
      <c r="J224" s="62">
        <f>SUM(AI212:AI225)</f>
        <v>2.74</v>
      </c>
      <c r="K224" s="63"/>
      <c r="L224" s="62">
        <f>SUM(AJ212:AJ225)</f>
        <v>102.2</v>
      </c>
    </row>
    <row r="225" spans="3:53" ht="15">
      <c r="C225" s="134" t="s">
        <v>533</v>
      </c>
      <c r="D225" s="134"/>
      <c r="E225" s="134"/>
      <c r="F225" s="134"/>
      <c r="G225" s="134"/>
      <c r="H225" s="134"/>
      <c r="I225" s="134">
        <f>J215+J216+J218+J223+J224</f>
        <v>15.26</v>
      </c>
      <c r="J225" s="134"/>
      <c r="K225" s="134">
        <f>L215+L216+L218+L223+L224</f>
        <v>560.0600000000001</v>
      </c>
      <c r="L225" s="134"/>
      <c r="O225" s="48">
        <f>I225</f>
        <v>15.26</v>
      </c>
      <c r="P225" s="48">
        <f>K225</f>
        <v>560.0600000000001</v>
      </c>
      <c r="Q225" s="48">
        <f>J215</f>
        <v>5.81</v>
      </c>
      <c r="R225" s="48">
        <f>J215</f>
        <v>5.81</v>
      </c>
      <c r="U225" s="48">
        <f>L215</f>
        <v>216.93</v>
      </c>
      <c r="X225" s="48">
        <f>J217</f>
        <v>0.05</v>
      </c>
      <c r="Z225" s="48">
        <f>L217</f>
        <v>1.68</v>
      </c>
      <c r="AB225" s="48">
        <f>J216</f>
        <v>0.34</v>
      </c>
      <c r="AD225" s="48">
        <f>L216</f>
        <v>4.53</v>
      </c>
      <c r="AF225" s="48">
        <f>J218</f>
        <v>0.04</v>
      </c>
      <c r="AN225">
        <f>IF(Source!BI103&lt;=1,J215+J216+J218+J223+J224,0)</f>
        <v>15.26</v>
      </c>
      <c r="AO225">
        <f>IF(Source!BI103&lt;=1,J218,0)</f>
        <v>0.04</v>
      </c>
      <c r="AP225">
        <f>IF(Source!BI103&lt;=1,J216,0)</f>
        <v>0.34</v>
      </c>
      <c r="AQ225">
        <f>IF(Source!BI103&lt;=1,J215,0)</f>
        <v>5.81</v>
      </c>
      <c r="AX225">
        <f>IF(Source!BI103=2,J215+J216+J218+J223+J224,0)</f>
        <v>0</v>
      </c>
      <c r="AY225">
        <f>IF(Source!BI103=2,J218,0)</f>
        <v>0</v>
      </c>
      <c r="AZ225">
        <f>IF(Source!BI103=2,J216,0)</f>
        <v>0</v>
      </c>
      <c r="BA225">
        <f>IF(Source!BI103=2,J215,0)</f>
        <v>0</v>
      </c>
    </row>
    <row r="227" spans="1:95" ht="15">
      <c r="A227" s="66"/>
      <c r="B227" s="67"/>
      <c r="C227" s="148" t="s">
        <v>570</v>
      </c>
      <c r="D227" s="148"/>
      <c r="E227" s="148"/>
      <c r="F227" s="148"/>
      <c r="G227" s="148"/>
      <c r="H227" s="148"/>
      <c r="I227" s="68"/>
      <c r="J227" s="69">
        <f>J229+J230+J231+J232</f>
        <v>2617399.06</v>
      </c>
      <c r="K227" s="69"/>
      <c r="L227" s="69">
        <f>L229+L230+L231+L232</f>
        <v>2774084.57</v>
      </c>
      <c r="CQ227" s="79" t="s">
        <v>570</v>
      </c>
    </row>
    <row r="228" spans="1:12" ht="14.25">
      <c r="A228" s="70"/>
      <c r="B228" s="71"/>
      <c r="C228" s="147" t="s">
        <v>571</v>
      </c>
      <c r="D228" s="146"/>
      <c r="E228" s="146"/>
      <c r="F228" s="146"/>
      <c r="G228" s="146"/>
      <c r="H228" s="146"/>
      <c r="I228" s="72"/>
      <c r="J228" s="73"/>
      <c r="K228" s="73"/>
      <c r="L228" s="73"/>
    </row>
    <row r="229" spans="1:12" ht="14.25">
      <c r="A229" s="70"/>
      <c r="B229" s="71"/>
      <c r="C229" s="146" t="s">
        <v>572</v>
      </c>
      <c r="D229" s="146"/>
      <c r="E229" s="146"/>
      <c r="F229" s="146"/>
      <c r="G229" s="146"/>
      <c r="H229" s="146"/>
      <c r="I229" s="72"/>
      <c r="J229" s="73">
        <f>SUM(Q48:Q225)</f>
        <v>3269.48</v>
      </c>
      <c r="K229" s="73"/>
      <c r="L229" s="73">
        <f>SUM(U48:U225)</f>
        <v>122082.04000000001</v>
      </c>
    </row>
    <row r="230" spans="1:12" ht="14.25">
      <c r="A230" s="70"/>
      <c r="B230" s="71"/>
      <c r="C230" s="146" t="s">
        <v>573</v>
      </c>
      <c r="D230" s="146"/>
      <c r="E230" s="146"/>
      <c r="F230" s="146"/>
      <c r="G230" s="146"/>
      <c r="H230" s="146"/>
      <c r="I230" s="72"/>
      <c r="J230" s="73">
        <f>SUM(AB48:AB225)</f>
        <v>945.32</v>
      </c>
      <c r="K230" s="73"/>
      <c r="L230" s="73">
        <f>SUM(AD48:AD225)</f>
        <v>12516.25</v>
      </c>
    </row>
    <row r="231" spans="1:12" ht="14.25">
      <c r="A231" s="70"/>
      <c r="B231" s="71"/>
      <c r="C231" s="146" t="s">
        <v>574</v>
      </c>
      <c r="D231" s="146"/>
      <c r="E231" s="146"/>
      <c r="F231" s="146"/>
      <c r="G231" s="146"/>
      <c r="H231" s="146"/>
      <c r="I231" s="72"/>
      <c r="J231" s="73">
        <f>SUM(AF48:AF225)-J236</f>
        <v>2613184.2600000002</v>
      </c>
      <c r="K231" s="73"/>
      <c r="L231" s="73">
        <f>Source!P108-L236</f>
        <v>2639486.28</v>
      </c>
    </row>
    <row r="232" spans="1:12" ht="13.5" customHeight="1" hidden="1">
      <c r="A232" s="70"/>
      <c r="B232" s="71"/>
      <c r="C232" s="146" t="s">
        <v>575</v>
      </c>
      <c r="D232" s="146"/>
      <c r="E232" s="146"/>
      <c r="F232" s="146"/>
      <c r="G232" s="146"/>
      <c r="H232" s="146"/>
      <c r="I232" s="72"/>
      <c r="J232" s="73">
        <f>SUM(AR48:AR225)+SUM(BB48:BB225)+SUM(BI48:BI225)+SUM(BP48:BP225)</f>
        <v>0</v>
      </c>
      <c r="K232" s="73"/>
      <c r="L232" s="73">
        <f>Source!P130</f>
        <v>0</v>
      </c>
    </row>
    <row r="233" spans="1:12" ht="14.25">
      <c r="A233" s="70"/>
      <c r="B233" s="71"/>
      <c r="C233" s="146" t="s">
        <v>576</v>
      </c>
      <c r="D233" s="146"/>
      <c r="E233" s="146"/>
      <c r="F233" s="146"/>
      <c r="G233" s="146"/>
      <c r="H233" s="146"/>
      <c r="I233" s="72"/>
      <c r="J233" s="73">
        <f>SUM(Q48:Q225)+SUM(X48:X225)</f>
        <v>3379.68</v>
      </c>
      <c r="K233" s="73"/>
      <c r="L233" s="73">
        <f>SUM(U48:U225)+SUM(Z48:Z225)</f>
        <v>126196.62000000001</v>
      </c>
    </row>
    <row r="234" spans="1:12" ht="14.25">
      <c r="A234" s="70"/>
      <c r="B234" s="71"/>
      <c r="C234" s="146" t="s">
        <v>577</v>
      </c>
      <c r="D234" s="146"/>
      <c r="E234" s="146"/>
      <c r="F234" s="146"/>
      <c r="G234" s="146"/>
      <c r="H234" s="146"/>
      <c r="I234" s="72"/>
      <c r="J234" s="73">
        <f>SUM(AG48:AG225)</f>
        <v>3162.519999999999</v>
      </c>
      <c r="K234" s="73"/>
      <c r="L234" s="73">
        <f>Source!P131</f>
        <v>118087.68</v>
      </c>
    </row>
    <row r="235" spans="1:12" ht="14.25">
      <c r="A235" s="70"/>
      <c r="B235" s="71"/>
      <c r="C235" s="146" t="s">
        <v>578</v>
      </c>
      <c r="D235" s="146"/>
      <c r="E235" s="146"/>
      <c r="F235" s="146"/>
      <c r="G235" s="146"/>
      <c r="H235" s="146"/>
      <c r="I235" s="72"/>
      <c r="J235" s="73">
        <f>SUM(AI48:AI225)</f>
        <v>1878.88</v>
      </c>
      <c r="K235" s="73"/>
      <c r="L235" s="73">
        <f>Source!P132</f>
        <v>70156.9</v>
      </c>
    </row>
    <row r="236" spans="1:12" ht="13.5" customHeight="1" hidden="1">
      <c r="A236" s="70"/>
      <c r="B236" s="71"/>
      <c r="C236" s="146" t="s">
        <v>579</v>
      </c>
      <c r="D236" s="146"/>
      <c r="E236" s="146"/>
      <c r="F236" s="146"/>
      <c r="G236" s="146"/>
      <c r="H236" s="146"/>
      <c r="I236" s="72"/>
      <c r="J236" s="73">
        <f>SUM(BH48:BH225)</f>
        <v>0</v>
      </c>
      <c r="K236" s="73"/>
      <c r="L236" s="73">
        <f>Source!P114</f>
        <v>0</v>
      </c>
    </row>
    <row r="237" spans="1:12" ht="13.5" customHeight="1" hidden="1">
      <c r="A237" s="70"/>
      <c r="B237" s="71"/>
      <c r="C237" s="146" t="s">
        <v>580</v>
      </c>
      <c r="D237" s="146"/>
      <c r="E237" s="146"/>
      <c r="F237" s="146"/>
      <c r="G237" s="146"/>
      <c r="H237" s="146"/>
      <c r="I237" s="72"/>
      <c r="J237" s="73">
        <f>SUM(BM48:BM225)+SUM(BN48:BN225)+SUM(BO48:BO225)+SUM(BP48:BP225)</f>
        <v>0</v>
      </c>
      <c r="K237" s="73"/>
      <c r="L237" s="73">
        <f>Source!P124</f>
        <v>0</v>
      </c>
    </row>
    <row r="238" spans="1:12" ht="15">
      <c r="A238" s="66"/>
      <c r="B238" s="67"/>
      <c r="C238" s="148" t="s">
        <v>581</v>
      </c>
      <c r="D238" s="148"/>
      <c r="E238" s="148"/>
      <c r="F238" s="148"/>
      <c r="G238" s="148"/>
      <c r="H238" s="148"/>
      <c r="I238" s="68"/>
      <c r="J238" s="69">
        <f>J227+J234+J235+J236</f>
        <v>2622440.46</v>
      </c>
      <c r="K238" s="69"/>
      <c r="L238" s="69">
        <f>Source!P133</f>
        <v>2962329.15</v>
      </c>
    </row>
    <row r="239" spans="1:12" ht="13.5" customHeight="1" hidden="1">
      <c r="A239" s="70"/>
      <c r="B239" s="71"/>
      <c r="C239" s="147" t="s">
        <v>582</v>
      </c>
      <c r="D239" s="146"/>
      <c r="E239" s="146"/>
      <c r="F239" s="146"/>
      <c r="G239" s="146"/>
      <c r="H239" s="146"/>
      <c r="I239" s="72"/>
      <c r="J239" s="73"/>
      <c r="K239" s="73"/>
      <c r="L239" s="73"/>
    </row>
    <row r="240" spans="1:12" ht="13.5" customHeight="1" hidden="1">
      <c r="A240" s="70"/>
      <c r="B240" s="71"/>
      <c r="C240" s="146" t="s">
        <v>583</v>
      </c>
      <c r="D240" s="146"/>
      <c r="E240" s="146"/>
      <c r="F240" s="146"/>
      <c r="G240" s="146"/>
      <c r="H240" s="146"/>
      <c r="I240" s="72"/>
      <c r="J240" s="73"/>
      <c r="K240" s="73"/>
      <c r="L240" s="73">
        <f>SUM(BS48:BS225)</f>
        <v>0</v>
      </c>
    </row>
    <row r="241" spans="1:12" ht="13.5" customHeight="1" hidden="1">
      <c r="A241" s="70"/>
      <c r="B241" s="71"/>
      <c r="C241" s="146" t="s">
        <v>584</v>
      </c>
      <c r="D241" s="146"/>
      <c r="E241" s="146"/>
      <c r="F241" s="146"/>
      <c r="G241" s="146"/>
      <c r="H241" s="146"/>
      <c r="I241" s="72"/>
      <c r="J241" s="73"/>
      <c r="K241" s="73"/>
      <c r="L241" s="73">
        <f>SUM(BT48:BT225)</f>
        <v>0</v>
      </c>
    </row>
    <row r="243" spans="1:12" ht="16.5">
      <c r="A243" s="145" t="s">
        <v>585</v>
      </c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</row>
    <row r="244" spans="1:56" ht="42.75">
      <c r="A244" s="74">
        <v>14</v>
      </c>
      <c r="B244" s="74" t="s">
        <v>586</v>
      </c>
      <c r="C244" s="74" t="str">
        <f>Source!G141</f>
        <v>Погрузка при автомобильных перевозках мусора строительного с погрузкой вручную</v>
      </c>
      <c r="D244" s="56" t="str">
        <f>Source!DW141</f>
        <v>1 Т ГРУЗА</v>
      </c>
      <c r="E244" s="57">
        <f>Source!K141</f>
        <v>2</v>
      </c>
      <c r="F244" s="57"/>
      <c r="G244" s="57">
        <f>Source!I141</f>
        <v>2</v>
      </c>
      <c r="H244" s="49">
        <f>Source!AK141</f>
        <v>42.98</v>
      </c>
      <c r="I244" s="58"/>
      <c r="J244" s="49">
        <f>ROUND(Source!AB141*Source!I141,2)</f>
        <v>85.96</v>
      </c>
      <c r="K244" s="58">
        <f>Source!AZ141</f>
        <v>13.24</v>
      </c>
      <c r="L244" s="49">
        <f>Source!GM141</f>
        <v>1138.11</v>
      </c>
      <c r="AG244">
        <f>ROUND((Source!AT141/100)*((ROUND(0*Source!I141,2)+ROUND(0*Source!I141,2))),2)</f>
        <v>0</v>
      </c>
      <c r="AH244">
        <f>Source!X141</f>
        <v>0</v>
      </c>
      <c r="AI244">
        <f>ROUND((Source!AU141/100)*((ROUND(0*Source!I141,2)+ROUND(0*Source!I141,2))),2)</f>
        <v>0</v>
      </c>
      <c r="AJ244">
        <f>Source!Y141</f>
        <v>0</v>
      </c>
      <c r="AS244">
        <f>IF(Source!BI141&lt;=1,AH244,0)</f>
        <v>0</v>
      </c>
      <c r="AT244">
        <f>IF(Source!BI141&lt;=1,AJ244,0)</f>
        <v>0</v>
      </c>
      <c r="BC244">
        <f>IF(Source!BI141=2,AH244,0)</f>
        <v>0</v>
      </c>
      <c r="BD244">
        <f>IF(Source!BI141=2,AJ244,0)</f>
        <v>0</v>
      </c>
    </row>
    <row r="245" spans="1:12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</row>
    <row r="246" spans="3:61" ht="15">
      <c r="C246" s="134" t="s">
        <v>533</v>
      </c>
      <c r="D246" s="134"/>
      <c r="E246" s="134"/>
      <c r="F246" s="134"/>
      <c r="G246" s="134"/>
      <c r="H246" s="134"/>
      <c r="I246" s="134">
        <f>J244</f>
        <v>85.96</v>
      </c>
      <c r="J246" s="134"/>
      <c r="K246" s="134">
        <f>L244</f>
        <v>1138.11</v>
      </c>
      <c r="L246" s="134"/>
      <c r="O246" s="48">
        <f>I246</f>
        <v>85.96</v>
      </c>
      <c r="P246" s="48">
        <f>K246</f>
        <v>1138.11</v>
      </c>
      <c r="R246">
        <f>0</f>
        <v>0</v>
      </c>
      <c r="V246">
        <f>0</f>
        <v>0</v>
      </c>
      <c r="W246">
        <f>0</f>
        <v>0</v>
      </c>
      <c r="Y246">
        <f>0</f>
        <v>0</v>
      </c>
      <c r="AA246">
        <f>0</f>
        <v>0</v>
      </c>
      <c r="AC246">
        <f>0</f>
        <v>0</v>
      </c>
      <c r="AE246">
        <f>0</f>
        <v>0</v>
      </c>
      <c r="AF246">
        <f>0</f>
        <v>0</v>
      </c>
      <c r="AO246">
        <f>IF(Source!BI141&lt;=1,0,0)</f>
        <v>0</v>
      </c>
      <c r="AR246">
        <f>IF(Source!BI141&lt;=1,J244,0)</f>
        <v>85.96</v>
      </c>
      <c r="AY246">
        <f>IF(Source!BI141=2,0,0)</f>
        <v>0</v>
      </c>
      <c r="BB246">
        <f>IF(Source!BI141=2,J244,0)</f>
        <v>0</v>
      </c>
      <c r="BI246">
        <f>IF(Source!BI141=3,J244,0)</f>
        <v>0</v>
      </c>
    </row>
    <row r="247" spans="1:56" ht="57">
      <c r="A247" s="74">
        <v>15</v>
      </c>
      <c r="B247" s="74" t="s">
        <v>587</v>
      </c>
      <c r="C247" s="74" t="str">
        <f>Source!G143</f>
        <v>Перевозка грузов I класса автомобилями бортовыми грузоподъемностью до 15 т на расстояние до 50 км</v>
      </c>
      <c r="D247" s="56" t="str">
        <f>Source!DW143</f>
        <v>1 Т ГРУЗА</v>
      </c>
      <c r="E247" s="57">
        <f>Source!K143</f>
        <v>2</v>
      </c>
      <c r="F247" s="57"/>
      <c r="G247" s="57">
        <f>Source!I143</f>
        <v>2</v>
      </c>
      <c r="H247" s="49">
        <f>Source!AK143</f>
        <v>23.67</v>
      </c>
      <c r="I247" s="58"/>
      <c r="J247" s="49">
        <f>ROUND(Source!AB143*Source!I143,2)</f>
        <v>47.34</v>
      </c>
      <c r="K247" s="58">
        <f>Source!AZ143</f>
        <v>13.24</v>
      </c>
      <c r="L247" s="49">
        <f>Source!GM143</f>
        <v>626.78</v>
      </c>
      <c r="AG247">
        <f>ROUND((Source!AT143/100)*((ROUND(0*Source!I143,2)+ROUND(0*Source!I143,2))),2)</f>
        <v>0</v>
      </c>
      <c r="AH247">
        <f>Source!X143</f>
        <v>0</v>
      </c>
      <c r="AI247">
        <f>ROUND((Source!AU143/100)*((ROUND(0*Source!I143,2)+ROUND(0*Source!I143,2))),2)</f>
        <v>0</v>
      </c>
      <c r="AJ247">
        <f>Source!Y143</f>
        <v>0</v>
      </c>
      <c r="AS247">
        <f>IF(Source!BI143&lt;=1,AH247,0)</f>
        <v>0</v>
      </c>
      <c r="AT247">
        <f>IF(Source!BI143&lt;=1,AJ247,0)</f>
        <v>0</v>
      </c>
      <c r="BC247">
        <f>IF(Source!BI143=2,AH247,0)</f>
        <v>0</v>
      </c>
      <c r="BD247">
        <f>IF(Source!BI143=2,AJ247,0)</f>
        <v>0</v>
      </c>
    </row>
    <row r="248" spans="1:12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</row>
    <row r="249" spans="3:61" ht="15">
      <c r="C249" s="134" t="s">
        <v>533</v>
      </c>
      <c r="D249" s="134"/>
      <c r="E249" s="134"/>
      <c r="F249" s="134"/>
      <c r="G249" s="134"/>
      <c r="H249" s="134"/>
      <c r="I249" s="134">
        <f>J247</f>
        <v>47.34</v>
      </c>
      <c r="J249" s="134"/>
      <c r="K249" s="134">
        <f>L247</f>
        <v>626.78</v>
      </c>
      <c r="L249" s="134"/>
      <c r="O249" s="48">
        <f>I249</f>
        <v>47.34</v>
      </c>
      <c r="P249" s="48">
        <f>K249</f>
        <v>626.78</v>
      </c>
      <c r="R249">
        <f>0</f>
        <v>0</v>
      </c>
      <c r="V249">
        <f>0</f>
        <v>0</v>
      </c>
      <c r="W249">
        <f>0</f>
        <v>0</v>
      </c>
      <c r="Y249">
        <f>0</f>
        <v>0</v>
      </c>
      <c r="AA249">
        <f>0</f>
        <v>0</v>
      </c>
      <c r="AC249">
        <f>0</f>
        <v>0</v>
      </c>
      <c r="AE249">
        <f>0</f>
        <v>0</v>
      </c>
      <c r="AF249">
        <f>0</f>
        <v>0</v>
      </c>
      <c r="AO249">
        <f>IF(Source!BI143&lt;=1,0,0)</f>
        <v>0</v>
      </c>
      <c r="AR249">
        <f>IF(Source!BI143&lt;=1,J247,0)</f>
        <v>47.34</v>
      </c>
      <c r="AY249">
        <f>IF(Source!BI143=2,0,0)</f>
        <v>0</v>
      </c>
      <c r="BB249">
        <f>IF(Source!BI143=2,J247,0)</f>
        <v>0</v>
      </c>
      <c r="BI249">
        <f>IF(Source!BI143=3,J247,0)</f>
        <v>0</v>
      </c>
    </row>
    <row r="251" spans="1:95" ht="15">
      <c r="A251" s="66"/>
      <c r="B251" s="67"/>
      <c r="C251" s="148" t="s">
        <v>570</v>
      </c>
      <c r="D251" s="148"/>
      <c r="E251" s="148"/>
      <c r="F251" s="148"/>
      <c r="G251" s="148"/>
      <c r="H251" s="148"/>
      <c r="I251" s="68"/>
      <c r="J251" s="69">
        <f>J253+J254+J255+J256</f>
        <v>133.3</v>
      </c>
      <c r="K251" s="69"/>
      <c r="L251" s="69">
        <f>L253+L254+L255+L256</f>
        <v>1764.89</v>
      </c>
      <c r="CQ251" s="79" t="s">
        <v>570</v>
      </c>
    </row>
    <row r="252" spans="1:12" ht="14.25">
      <c r="A252" s="70"/>
      <c r="B252" s="71"/>
      <c r="C252" s="147" t="s">
        <v>571</v>
      </c>
      <c r="D252" s="146"/>
      <c r="E252" s="146"/>
      <c r="F252" s="146"/>
      <c r="G252" s="146"/>
      <c r="H252" s="146"/>
      <c r="I252" s="72"/>
      <c r="J252" s="73"/>
      <c r="K252" s="73"/>
      <c r="L252" s="73"/>
    </row>
    <row r="253" spans="1:12" ht="13.5" customHeight="1" hidden="1">
      <c r="A253" s="70"/>
      <c r="B253" s="71"/>
      <c r="C253" s="146" t="s">
        <v>572</v>
      </c>
      <c r="D253" s="146"/>
      <c r="E253" s="146"/>
      <c r="F253" s="146"/>
      <c r="G253" s="146"/>
      <c r="H253" s="146"/>
      <c r="I253" s="72"/>
      <c r="J253" s="73">
        <f>SUM(Q243:Q249)</f>
        <v>0</v>
      </c>
      <c r="K253" s="73"/>
      <c r="L253" s="73">
        <f>SUM(U243:U249)</f>
        <v>0</v>
      </c>
    </row>
    <row r="254" spans="1:12" ht="13.5" customHeight="1" hidden="1">
      <c r="A254" s="70"/>
      <c r="B254" s="71"/>
      <c r="C254" s="146" t="s">
        <v>573</v>
      </c>
      <c r="D254" s="146"/>
      <c r="E254" s="146"/>
      <c r="F254" s="146"/>
      <c r="G254" s="146"/>
      <c r="H254" s="146"/>
      <c r="I254" s="72"/>
      <c r="J254" s="73">
        <f>SUM(AB243:AB249)</f>
        <v>0</v>
      </c>
      <c r="K254" s="73"/>
      <c r="L254" s="73">
        <f>SUM(AD243:AD249)</f>
        <v>0</v>
      </c>
    </row>
    <row r="255" spans="1:12" ht="13.5" customHeight="1" hidden="1">
      <c r="A255" s="70"/>
      <c r="B255" s="71"/>
      <c r="C255" s="146" t="s">
        <v>574</v>
      </c>
      <c r="D255" s="146"/>
      <c r="E255" s="146"/>
      <c r="F255" s="146"/>
      <c r="G255" s="146"/>
      <c r="H255" s="146"/>
      <c r="I255" s="72"/>
      <c r="J255" s="73">
        <f>SUM(AF243:AF249)-J260</f>
        <v>0</v>
      </c>
      <c r="K255" s="73"/>
      <c r="L255" s="73">
        <f>Source!P148-L260</f>
        <v>0</v>
      </c>
    </row>
    <row r="256" spans="1:12" ht="14.25">
      <c r="A256" s="70"/>
      <c r="B256" s="71"/>
      <c r="C256" s="146" t="s">
        <v>575</v>
      </c>
      <c r="D256" s="146"/>
      <c r="E256" s="146"/>
      <c r="F256" s="146"/>
      <c r="G256" s="146"/>
      <c r="H256" s="146"/>
      <c r="I256" s="72"/>
      <c r="J256" s="73">
        <f>SUM(AR243:AR249)+SUM(BB243:BB249)+SUM(BI243:BI249)+SUM(BP243:BP249)</f>
        <v>133.3</v>
      </c>
      <c r="K256" s="73"/>
      <c r="L256" s="73">
        <f>Source!P170</f>
        <v>1764.89</v>
      </c>
    </row>
    <row r="257" spans="1:12" ht="13.5" customHeight="1" hidden="1">
      <c r="A257" s="70"/>
      <c r="B257" s="71"/>
      <c r="C257" s="146" t="s">
        <v>576</v>
      </c>
      <c r="D257" s="146"/>
      <c r="E257" s="146"/>
      <c r="F257" s="146"/>
      <c r="G257" s="146"/>
      <c r="H257" s="146"/>
      <c r="I257" s="72"/>
      <c r="J257" s="73">
        <f>SUM(Q243:Q249)+SUM(X243:X249)</f>
        <v>0</v>
      </c>
      <c r="K257" s="73"/>
      <c r="L257" s="73">
        <f>SUM(U243:U249)+SUM(Z243:Z249)</f>
        <v>0</v>
      </c>
    </row>
    <row r="258" spans="1:12" ht="13.5" customHeight="1" hidden="1">
      <c r="A258" s="70"/>
      <c r="B258" s="71"/>
      <c r="C258" s="146" t="s">
        <v>577</v>
      </c>
      <c r="D258" s="146"/>
      <c r="E258" s="146"/>
      <c r="F258" s="146"/>
      <c r="G258" s="146"/>
      <c r="H258" s="146"/>
      <c r="I258" s="72"/>
      <c r="J258" s="73">
        <f>SUM(AG243:AG249)</f>
        <v>0</v>
      </c>
      <c r="K258" s="73"/>
      <c r="L258" s="73">
        <f>Source!P171</f>
        <v>0</v>
      </c>
    </row>
    <row r="259" spans="1:12" ht="13.5" customHeight="1" hidden="1">
      <c r="A259" s="70"/>
      <c r="B259" s="71"/>
      <c r="C259" s="146" t="s">
        <v>578</v>
      </c>
      <c r="D259" s="146"/>
      <c r="E259" s="146"/>
      <c r="F259" s="146"/>
      <c r="G259" s="146"/>
      <c r="H259" s="146"/>
      <c r="I259" s="72"/>
      <c r="J259" s="73">
        <f>SUM(AI243:AI249)</f>
        <v>0</v>
      </c>
      <c r="K259" s="73"/>
      <c r="L259" s="73">
        <f>Source!P172</f>
        <v>0</v>
      </c>
    </row>
    <row r="260" spans="1:12" ht="13.5" customHeight="1" hidden="1">
      <c r="A260" s="70"/>
      <c r="B260" s="71"/>
      <c r="C260" s="146" t="s">
        <v>579</v>
      </c>
      <c r="D260" s="146"/>
      <c r="E260" s="146"/>
      <c r="F260" s="146"/>
      <c r="G260" s="146"/>
      <c r="H260" s="146"/>
      <c r="I260" s="72"/>
      <c r="J260" s="73">
        <f>SUM(BH243:BH249)</f>
        <v>0</v>
      </c>
      <c r="K260" s="73"/>
      <c r="L260" s="73">
        <f>Source!P154</f>
        <v>0</v>
      </c>
    </row>
    <row r="261" spans="1:12" ht="13.5" customHeight="1" hidden="1">
      <c r="A261" s="70"/>
      <c r="B261" s="71"/>
      <c r="C261" s="146" t="s">
        <v>580</v>
      </c>
      <c r="D261" s="146"/>
      <c r="E261" s="146"/>
      <c r="F261" s="146"/>
      <c r="G261" s="146"/>
      <c r="H261" s="146"/>
      <c r="I261" s="72"/>
      <c r="J261" s="73">
        <f>SUM(BM243:BM249)+SUM(BN243:BN249)+SUM(BO243:BO249)+SUM(BP243:BP249)</f>
        <v>0</v>
      </c>
      <c r="K261" s="73"/>
      <c r="L261" s="73">
        <f>Source!P164</f>
        <v>0</v>
      </c>
    </row>
    <row r="262" spans="1:12" ht="15">
      <c r="A262" s="66"/>
      <c r="B262" s="67"/>
      <c r="C262" s="148" t="s">
        <v>581</v>
      </c>
      <c r="D262" s="148"/>
      <c r="E262" s="148"/>
      <c r="F262" s="148"/>
      <c r="G262" s="148"/>
      <c r="H262" s="148"/>
      <c r="I262" s="68"/>
      <c r="J262" s="69">
        <f>J251+J258+J259+J260</f>
        <v>133.3</v>
      </c>
      <c r="K262" s="69"/>
      <c r="L262" s="69">
        <f>Source!P173</f>
        <v>1764.89</v>
      </c>
    </row>
    <row r="263" spans="1:12" ht="13.5" customHeight="1" hidden="1">
      <c r="A263" s="70"/>
      <c r="B263" s="71"/>
      <c r="C263" s="147" t="s">
        <v>582</v>
      </c>
      <c r="D263" s="146"/>
      <c r="E263" s="146"/>
      <c r="F263" s="146"/>
      <c r="G263" s="146"/>
      <c r="H263" s="146"/>
      <c r="I263" s="72"/>
      <c r="J263" s="73"/>
      <c r="K263" s="73"/>
      <c r="L263" s="73"/>
    </row>
    <row r="264" spans="1:12" ht="13.5" customHeight="1" hidden="1">
      <c r="A264" s="70"/>
      <c r="B264" s="71"/>
      <c r="C264" s="146" t="s">
        <v>583</v>
      </c>
      <c r="D264" s="146"/>
      <c r="E264" s="146"/>
      <c r="F264" s="146"/>
      <c r="G264" s="146"/>
      <c r="H264" s="146"/>
      <c r="I264" s="72"/>
      <c r="J264" s="73"/>
      <c r="K264" s="73"/>
      <c r="L264" s="73">
        <f>SUM(BS243:BS249)</f>
        <v>0</v>
      </c>
    </row>
    <row r="265" spans="1:12" ht="13.5" customHeight="1" hidden="1">
      <c r="A265" s="70"/>
      <c r="B265" s="71"/>
      <c r="C265" s="146" t="s">
        <v>584</v>
      </c>
      <c r="D265" s="146"/>
      <c r="E265" s="146"/>
      <c r="F265" s="146"/>
      <c r="G265" s="146"/>
      <c r="H265" s="146"/>
      <c r="I265" s="72"/>
      <c r="J265" s="73"/>
      <c r="K265" s="73"/>
      <c r="L265" s="73">
        <f>SUM(BT243:BT249)</f>
        <v>0</v>
      </c>
    </row>
    <row r="266" spans="3:12" ht="14.25">
      <c r="C266" s="133" t="str">
        <f>Source!H174</f>
        <v>итого по разделу</v>
      </c>
      <c r="D266" s="133"/>
      <c r="E266" s="133"/>
      <c r="F266" s="133"/>
      <c r="G266" s="133"/>
      <c r="H266" s="133"/>
      <c r="I266" s="133"/>
      <c r="J266" s="133"/>
      <c r="K266" s="133"/>
      <c r="L266" s="49">
        <f>IF(Source!AB174=0,"",Source!AB174)</f>
        <v>1764.89</v>
      </c>
    </row>
    <row r="268" spans="1:12" ht="15">
      <c r="A268" s="66"/>
      <c r="B268" s="67"/>
      <c r="C268" s="148" t="s">
        <v>588</v>
      </c>
      <c r="D268" s="148"/>
      <c r="E268" s="148"/>
      <c r="F268" s="148"/>
      <c r="G268" s="148"/>
      <c r="H268" s="148"/>
      <c r="I268" s="68"/>
      <c r="J268" s="69"/>
      <c r="K268" s="69"/>
      <c r="L268" s="69"/>
    </row>
    <row r="269" spans="1:12" ht="15">
      <c r="A269" s="66"/>
      <c r="B269" s="67"/>
      <c r="C269" s="148" t="s">
        <v>589</v>
      </c>
      <c r="D269" s="148"/>
      <c r="E269" s="148"/>
      <c r="F269" s="148"/>
      <c r="G269" s="148"/>
      <c r="H269" s="148"/>
      <c r="I269" s="68"/>
      <c r="J269" s="69">
        <f>J271+J272+J273+J274</f>
        <v>2617532.36</v>
      </c>
      <c r="K269" s="69"/>
      <c r="L269" s="69">
        <f>L271+L272+L273+L274</f>
        <v>2775849.46</v>
      </c>
    </row>
    <row r="270" spans="1:12" ht="14.25">
      <c r="A270" s="70"/>
      <c r="B270" s="71"/>
      <c r="C270" s="147" t="s">
        <v>571</v>
      </c>
      <c r="D270" s="146"/>
      <c r="E270" s="146"/>
      <c r="F270" s="146"/>
      <c r="G270" s="146"/>
      <c r="H270" s="146"/>
      <c r="I270" s="72"/>
      <c r="J270" s="73"/>
      <c r="K270" s="73"/>
      <c r="L270" s="73"/>
    </row>
    <row r="271" spans="1:12" ht="14.25">
      <c r="A271" s="70"/>
      <c r="B271" s="71"/>
      <c r="C271" s="146" t="s">
        <v>572</v>
      </c>
      <c r="D271" s="146"/>
      <c r="E271" s="146"/>
      <c r="F271" s="146"/>
      <c r="G271" s="146"/>
      <c r="H271" s="146"/>
      <c r="I271" s="72"/>
      <c r="J271" s="73">
        <f>SUM(Q47:Q266)</f>
        <v>3269.48</v>
      </c>
      <c r="K271" s="73"/>
      <c r="L271" s="73">
        <f>SUM(U47:U266)</f>
        <v>122082.04000000001</v>
      </c>
    </row>
    <row r="272" spans="1:12" ht="14.25">
      <c r="A272" s="70"/>
      <c r="B272" s="71"/>
      <c r="C272" s="146" t="s">
        <v>573</v>
      </c>
      <c r="D272" s="146"/>
      <c r="E272" s="146"/>
      <c r="F272" s="146"/>
      <c r="G272" s="146"/>
      <c r="H272" s="146"/>
      <c r="I272" s="72"/>
      <c r="J272" s="73">
        <f>SUM(AB47:AB266)</f>
        <v>945.32</v>
      </c>
      <c r="K272" s="73"/>
      <c r="L272" s="73">
        <f>SUM(AD47:AD266)</f>
        <v>12516.25</v>
      </c>
    </row>
    <row r="273" spans="1:12" ht="14.25">
      <c r="A273" s="70"/>
      <c r="B273" s="71"/>
      <c r="C273" s="146" t="s">
        <v>574</v>
      </c>
      <c r="D273" s="146"/>
      <c r="E273" s="146"/>
      <c r="F273" s="146"/>
      <c r="G273" s="146"/>
      <c r="H273" s="146"/>
      <c r="I273" s="72"/>
      <c r="J273" s="73">
        <f>SUM(AF47:AF266)-J278</f>
        <v>2613184.2600000002</v>
      </c>
      <c r="K273" s="73"/>
      <c r="L273" s="73">
        <f>Source!P179-L278</f>
        <v>2639486.28</v>
      </c>
    </row>
    <row r="274" spans="1:12" ht="14.25">
      <c r="A274" s="70"/>
      <c r="B274" s="71"/>
      <c r="C274" s="146" t="s">
        <v>575</v>
      </c>
      <c r="D274" s="146"/>
      <c r="E274" s="146"/>
      <c r="F274" s="146"/>
      <c r="G274" s="146"/>
      <c r="H274" s="146"/>
      <c r="I274" s="72"/>
      <c r="J274" s="73">
        <f>SUM(AR47:AR266)+SUM(BB47:BB266)+SUM(BI47:BI266)+SUM(BP47:BP266)</f>
        <v>133.3</v>
      </c>
      <c r="K274" s="73"/>
      <c r="L274" s="73">
        <f>Source!P201</f>
        <v>1764.89</v>
      </c>
    </row>
    <row r="275" spans="1:12" ht="14.25">
      <c r="A275" s="70"/>
      <c r="B275" s="71"/>
      <c r="C275" s="146" t="s">
        <v>590</v>
      </c>
      <c r="D275" s="146"/>
      <c r="E275" s="146"/>
      <c r="F275" s="146"/>
      <c r="G275" s="146"/>
      <c r="H275" s="146"/>
      <c r="I275" s="72"/>
      <c r="J275" s="73">
        <f>SUM(Q47:Q266)+SUM(X47:X266)</f>
        <v>3379.68</v>
      </c>
      <c r="K275" s="73"/>
      <c r="L275" s="73">
        <f>SUM(U47:U266)+SUM(Z47:Z266)</f>
        <v>126196.62000000001</v>
      </c>
    </row>
    <row r="276" spans="1:12" ht="14.25">
      <c r="A276" s="70"/>
      <c r="B276" s="71"/>
      <c r="C276" s="146" t="s">
        <v>591</v>
      </c>
      <c r="D276" s="146"/>
      <c r="E276" s="146"/>
      <c r="F276" s="146"/>
      <c r="G276" s="146"/>
      <c r="H276" s="146"/>
      <c r="I276" s="72"/>
      <c r="J276" s="73">
        <f>SUM(AG47:AG266)</f>
        <v>3162.519999999999</v>
      </c>
      <c r="K276" s="73"/>
      <c r="L276" s="73">
        <f>Source!P202</f>
        <v>118087.68</v>
      </c>
    </row>
    <row r="277" spans="1:12" ht="14.25">
      <c r="A277" s="70"/>
      <c r="B277" s="71"/>
      <c r="C277" s="146" t="s">
        <v>592</v>
      </c>
      <c r="D277" s="146"/>
      <c r="E277" s="146"/>
      <c r="F277" s="146"/>
      <c r="G277" s="146"/>
      <c r="H277" s="146"/>
      <c r="I277" s="72"/>
      <c r="J277" s="73">
        <f>SUM(AI47:AI266)</f>
        <v>1878.88</v>
      </c>
      <c r="K277" s="73"/>
      <c r="L277" s="73">
        <f>Source!P203</f>
        <v>70156.9</v>
      </c>
    </row>
    <row r="278" spans="1:12" ht="13.5" customHeight="1" hidden="1">
      <c r="A278" s="70"/>
      <c r="B278" s="71"/>
      <c r="C278" s="146" t="s">
        <v>593</v>
      </c>
      <c r="D278" s="146"/>
      <c r="E278" s="146"/>
      <c r="F278" s="146"/>
      <c r="G278" s="146"/>
      <c r="H278" s="146"/>
      <c r="I278" s="72"/>
      <c r="J278" s="73">
        <f>SUM(BH47:BH266)</f>
        <v>0</v>
      </c>
      <c r="K278" s="73"/>
      <c r="L278" s="73">
        <f>Source!P185</f>
        <v>0</v>
      </c>
    </row>
    <row r="279" spans="1:12" ht="13.5" customHeight="1" hidden="1">
      <c r="A279" s="70"/>
      <c r="B279" s="71"/>
      <c r="C279" s="146" t="s">
        <v>594</v>
      </c>
      <c r="D279" s="146"/>
      <c r="E279" s="146"/>
      <c r="F279" s="146"/>
      <c r="G279" s="146"/>
      <c r="H279" s="146"/>
      <c r="I279" s="72"/>
      <c r="J279" s="73">
        <f>SUM(BM47:BM266)+SUM(BN47:BN266)+SUM(BO47:BO266)+SUM(BP47:BP266)</f>
        <v>0</v>
      </c>
      <c r="K279" s="73"/>
      <c r="L279" s="73">
        <f>Source!P195</f>
        <v>0</v>
      </c>
    </row>
    <row r="280" spans="1:12" ht="15">
      <c r="A280" s="66"/>
      <c r="B280" s="67"/>
      <c r="C280" s="146" t="s">
        <v>588</v>
      </c>
      <c r="D280" s="146"/>
      <c r="E280" s="146"/>
      <c r="F280" s="146"/>
      <c r="G280" s="146"/>
      <c r="H280" s="146"/>
      <c r="I280" s="72"/>
      <c r="J280" s="73">
        <f>J269+J276+J277+J278</f>
        <v>2622573.76</v>
      </c>
      <c r="K280" s="73"/>
      <c r="L280" s="73">
        <f>Source!P204</f>
        <v>2964094.04</v>
      </c>
    </row>
    <row r="281" spans="1:12" ht="13.5" customHeight="1" hidden="1">
      <c r="A281" s="70"/>
      <c r="B281" s="71"/>
      <c r="C281" s="147" t="s">
        <v>571</v>
      </c>
      <c r="D281" s="146"/>
      <c r="E281" s="146"/>
      <c r="F281" s="146"/>
      <c r="G281" s="146"/>
      <c r="H281" s="146"/>
      <c r="I281" s="72"/>
      <c r="J281" s="73"/>
      <c r="K281" s="73"/>
      <c r="L281" s="73"/>
    </row>
    <row r="282" spans="1:12" ht="13.5" customHeight="1" hidden="1">
      <c r="A282" s="70"/>
      <c r="B282" s="71"/>
      <c r="C282" s="146" t="s">
        <v>583</v>
      </c>
      <c r="D282" s="146"/>
      <c r="E282" s="146"/>
      <c r="F282" s="146"/>
      <c r="G282" s="146"/>
      <c r="H282" s="146"/>
      <c r="I282" s="72"/>
      <c r="J282" s="73"/>
      <c r="K282" s="73"/>
      <c r="L282" s="73">
        <f>SUM(BS47:BS266)</f>
        <v>0</v>
      </c>
    </row>
    <row r="283" spans="1:12" ht="13.5" customHeight="1" hidden="1">
      <c r="A283" s="70"/>
      <c r="B283" s="71"/>
      <c r="C283" s="146" t="s">
        <v>584</v>
      </c>
      <c r="D283" s="146"/>
      <c r="E283" s="146"/>
      <c r="F283" s="146"/>
      <c r="G283" s="146"/>
      <c r="H283" s="146"/>
      <c r="I283" s="72"/>
      <c r="J283" s="73"/>
      <c r="K283" s="73"/>
      <c r="L283" s="73">
        <f>SUM(BT47:BT266)</f>
        <v>0</v>
      </c>
    </row>
    <row r="284" spans="3:12" ht="14.25">
      <c r="C284" s="133" t="str">
        <f>Source!H207</f>
        <v>НДС 20%</v>
      </c>
      <c r="D284" s="133"/>
      <c r="E284" s="133"/>
      <c r="F284" s="133"/>
      <c r="G284" s="133"/>
      <c r="H284" s="133"/>
      <c r="I284" s="133"/>
      <c r="J284" s="133"/>
      <c r="K284" s="133"/>
      <c r="L284" s="49">
        <f>IF(Source!AB207=0,"",Source!AB207)</f>
        <v>592818.81</v>
      </c>
    </row>
    <row r="285" spans="3:12" ht="15">
      <c r="C285" s="144" t="str">
        <f>Source!H208</f>
        <v>ВСЕГО ПО СМЕТЕ</v>
      </c>
      <c r="D285" s="144"/>
      <c r="E285" s="144"/>
      <c r="F285" s="144"/>
      <c r="G285" s="144"/>
      <c r="H285" s="144"/>
      <c r="I285" s="144"/>
      <c r="J285" s="144"/>
      <c r="K285" s="144"/>
      <c r="L285" s="65">
        <f>IF(Source!AB208=0,"",Source!AB208)</f>
        <v>3556912.85</v>
      </c>
    </row>
    <row r="288" spans="1:11" ht="14.25">
      <c r="A288" s="128" t="s">
        <v>595</v>
      </c>
      <c r="B288" s="128"/>
      <c r="C288" s="47" t="str">
        <f>IF(Source!AC12&lt;&gt;"",Source!AC12," ")</f>
        <v>Ведущий инжененр РЕСО</v>
      </c>
      <c r="D288" s="47"/>
      <c r="E288" s="47"/>
      <c r="F288" s="47"/>
      <c r="G288" s="47"/>
      <c r="H288" s="120" t="str">
        <f>IF(Source!AB12&lt;&gt;"",Source!AB12," ")</f>
        <v>Степанова А.М.</v>
      </c>
      <c r="I288" s="120"/>
      <c r="J288" s="120"/>
      <c r="K288" s="120"/>
    </row>
    <row r="289" spans="1:11" ht="14.25">
      <c r="A289" s="14"/>
      <c r="B289" s="14"/>
      <c r="C289" s="129" t="s">
        <v>596</v>
      </c>
      <c r="D289" s="129"/>
      <c r="E289" s="129"/>
      <c r="F289" s="129"/>
      <c r="G289" s="129"/>
      <c r="H289" s="14"/>
      <c r="I289" s="14"/>
      <c r="J289" s="14"/>
      <c r="K289" s="14"/>
    </row>
    <row r="290" spans="1:11" ht="14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4.25">
      <c r="A291" s="128" t="s">
        <v>597</v>
      </c>
      <c r="B291" s="128"/>
      <c r="C291" s="47" t="str">
        <f>IF(Source!AE12&lt;&gt;"",Source!AE12," ")</f>
        <v>Заведующий РЕСО</v>
      </c>
      <c r="D291" s="47"/>
      <c r="E291" s="47"/>
      <c r="F291" s="47"/>
      <c r="G291" s="47"/>
      <c r="H291" s="120" t="str">
        <f>IF(Source!AD12&lt;&gt;"",Source!AD12," ")</f>
        <v>Покшин В.И.</v>
      </c>
      <c r="I291" s="120"/>
      <c r="J291" s="120"/>
      <c r="K291" s="120"/>
    </row>
    <row r="292" spans="1:11" ht="14.25">
      <c r="A292" s="14"/>
      <c r="B292" s="14"/>
      <c r="C292" s="129" t="s">
        <v>596</v>
      </c>
      <c r="D292" s="129"/>
      <c r="E292" s="129"/>
      <c r="F292" s="129"/>
      <c r="G292" s="129"/>
      <c r="H292" s="14"/>
      <c r="I292" s="14"/>
      <c r="J292" s="14"/>
      <c r="K292" s="14"/>
    </row>
  </sheetData>
  <sheetProtection/>
  <mergeCells count="134">
    <mergeCell ref="C256:H256"/>
    <mergeCell ref="C255:H255"/>
    <mergeCell ref="C283:H283"/>
    <mergeCell ref="C282:H282"/>
    <mergeCell ref="C281:H281"/>
    <mergeCell ref="C280:H280"/>
    <mergeCell ref="C279:H279"/>
    <mergeCell ref="C278:H278"/>
    <mergeCell ref="C262:H262"/>
    <mergeCell ref="C261:H261"/>
    <mergeCell ref="C260:H260"/>
    <mergeCell ref="C271:H271"/>
    <mergeCell ref="C277:H277"/>
    <mergeCell ref="C276:H276"/>
    <mergeCell ref="C275:H275"/>
    <mergeCell ref="C274:H274"/>
    <mergeCell ref="C273:H273"/>
    <mergeCell ref="C272:H272"/>
    <mergeCell ref="K184:L184"/>
    <mergeCell ref="I184:J184"/>
    <mergeCell ref="C184:H184"/>
    <mergeCell ref="C236:H236"/>
    <mergeCell ref="C235:H235"/>
    <mergeCell ref="C234:H234"/>
    <mergeCell ref="C233:H233"/>
    <mergeCell ref="C270:H270"/>
    <mergeCell ref="C269:H269"/>
    <mergeCell ref="C268:H268"/>
    <mergeCell ref="C265:H265"/>
    <mergeCell ref="C264:H264"/>
    <mergeCell ref="C263:H263"/>
    <mergeCell ref="A243:L243"/>
    <mergeCell ref="C241:H241"/>
    <mergeCell ref="C240:H240"/>
    <mergeCell ref="C239:H239"/>
    <mergeCell ref="C238:H238"/>
    <mergeCell ref="C237:H237"/>
    <mergeCell ref="C254:H254"/>
    <mergeCell ref="C253:H253"/>
    <mergeCell ref="C259:H259"/>
    <mergeCell ref="C258:H258"/>
    <mergeCell ref="C257:H257"/>
    <mergeCell ref="C251:H251"/>
    <mergeCell ref="K249:L249"/>
    <mergeCell ref="I249:J249"/>
    <mergeCell ref="C249:H249"/>
    <mergeCell ref="K246:L246"/>
    <mergeCell ref="I246:J246"/>
    <mergeCell ref="C246:H246"/>
    <mergeCell ref="C211:H211"/>
    <mergeCell ref="K196:L196"/>
    <mergeCell ref="I196:J196"/>
    <mergeCell ref="C196:H196"/>
    <mergeCell ref="C61:H61"/>
    <mergeCell ref="I114:J114"/>
    <mergeCell ref="C114:H114"/>
    <mergeCell ref="K99:L99"/>
    <mergeCell ref="I99:J99"/>
    <mergeCell ref="C99:H99"/>
    <mergeCell ref="K85:L85"/>
    <mergeCell ref="I85:J85"/>
    <mergeCell ref="C85:H85"/>
    <mergeCell ref="C292:G292"/>
    <mergeCell ref="C170:H170"/>
    <mergeCell ref="K155:L155"/>
    <mergeCell ref="I155:J155"/>
    <mergeCell ref="C155:H155"/>
    <mergeCell ref="K143:L143"/>
    <mergeCell ref="I143:J143"/>
    <mergeCell ref="C143:H143"/>
    <mergeCell ref="K211:L211"/>
    <mergeCell ref="I211:J211"/>
    <mergeCell ref="C284:K284"/>
    <mergeCell ref="C285:K285"/>
    <mergeCell ref="C232:H232"/>
    <mergeCell ref="C231:H231"/>
    <mergeCell ref="C230:H230"/>
    <mergeCell ref="C229:H229"/>
    <mergeCell ref="C228:H228"/>
    <mergeCell ref="C227:H227"/>
    <mergeCell ref="K225:L225"/>
    <mergeCell ref="I225:J225"/>
    <mergeCell ref="C225:H225"/>
    <mergeCell ref="K170:L170"/>
    <mergeCell ref="I170:J170"/>
    <mergeCell ref="C252:H252"/>
    <mergeCell ref="A288:B288"/>
    <mergeCell ref="H288:K288"/>
    <mergeCell ref="C289:G289"/>
    <mergeCell ref="A291:B291"/>
    <mergeCell ref="H291:K291"/>
    <mergeCell ref="K42:K45"/>
    <mergeCell ref="L42:L45"/>
    <mergeCell ref="C266:K266"/>
    <mergeCell ref="K127:L127"/>
    <mergeCell ref="I127:J127"/>
    <mergeCell ref="C127:H127"/>
    <mergeCell ref="K114:L114"/>
    <mergeCell ref="A42:A45"/>
    <mergeCell ref="B42:B45"/>
    <mergeCell ref="C42:C45"/>
    <mergeCell ref="D42:D45"/>
    <mergeCell ref="E42:G44"/>
    <mergeCell ref="H42:J44"/>
    <mergeCell ref="A48:L48"/>
    <mergeCell ref="K73:L73"/>
    <mergeCell ref="I73:J73"/>
    <mergeCell ref="C73:H73"/>
    <mergeCell ref="K61:L61"/>
    <mergeCell ref="I61:J61"/>
    <mergeCell ref="C30:G30"/>
    <mergeCell ref="D34:E34"/>
    <mergeCell ref="D37:E37"/>
    <mergeCell ref="D38:E38"/>
    <mergeCell ref="D39:E39"/>
    <mergeCell ref="D40:E40"/>
    <mergeCell ref="B18:K18"/>
    <mergeCell ref="B19:K19"/>
    <mergeCell ref="B21:K21"/>
    <mergeCell ref="B23:K23"/>
    <mergeCell ref="B24:K24"/>
    <mergeCell ref="C29:G29"/>
    <mergeCell ref="B7:E7"/>
    <mergeCell ref="H7:L7"/>
    <mergeCell ref="A10:L10"/>
    <mergeCell ref="A12:K12"/>
    <mergeCell ref="B15:K15"/>
    <mergeCell ref="B16:K16"/>
    <mergeCell ref="B3:E3"/>
    <mergeCell ref="H3:L3"/>
    <mergeCell ref="B4:E4"/>
    <mergeCell ref="H4:L4"/>
    <mergeCell ref="B6:E6"/>
    <mergeCell ref="H6:L6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0" width="0" style="0" hidden="1" customWidth="1"/>
    <col min="31" max="31" width="114.7109375" style="0" hidden="1" customWidth="1"/>
    <col min="32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4" t="s">
        <v>480</v>
      </c>
    </row>
    <row r="4" spans="4:5" ht="15">
      <c r="D4" s="64"/>
      <c r="E4" s="64"/>
    </row>
    <row r="5" spans="4:5" ht="15">
      <c r="D5" s="150" t="s">
        <v>598</v>
      </c>
      <c r="E5" s="150"/>
    </row>
    <row r="6" spans="4:5" ht="15">
      <c r="D6" s="80"/>
      <c r="E6" s="80"/>
    </row>
    <row r="7" spans="4:5" ht="15">
      <c r="D7" s="150" t="s">
        <v>598</v>
      </c>
      <c r="E7" s="150"/>
    </row>
    <row r="8" spans="4:5" ht="15">
      <c r="D8" s="80"/>
      <c r="E8" s="80"/>
    </row>
    <row r="9" spans="4:5" ht="15">
      <c r="D9" s="64" t="s">
        <v>599</v>
      </c>
      <c r="E9" s="14"/>
    </row>
    <row r="10" spans="4:5" ht="14.25">
      <c r="D10" s="14"/>
      <c r="E10" s="14"/>
    </row>
    <row r="12" spans="2:5" ht="15.75">
      <c r="B12" s="151" t="str">
        <f>CONCATENATE("Ведомость объемов работ ",IF(Source!AN15&lt;&gt;"",Source!AN15," "))</f>
        <v>Ведомость объемов работ  </v>
      </c>
      <c r="C12" s="151"/>
      <c r="D12" s="151"/>
      <c r="E12" s="151"/>
    </row>
    <row r="13" spans="2:31" ht="15">
      <c r="B13" s="152" t="str">
        <f>CONCATENATE(Source!F12," ",Source!G12)</f>
        <v> Выполнение работ по замене ограждающих конструкций стен тамбура главного входа ИПУ РАН</v>
      </c>
      <c r="C13" s="152"/>
      <c r="D13" s="152"/>
      <c r="E13" s="152"/>
      <c r="AE13" s="81" t="str">
        <f>CONCATENATE(Source!F12," ",Source!G12)</f>
        <v> Выполнение работ по замене ограждающих конструкций стен тамбура главного входа ИПУ РАН</v>
      </c>
    </row>
    <row r="14" ht="12.75" hidden="1"/>
    <row r="16" spans="1:8" ht="99.75">
      <c r="A16" s="83" t="s">
        <v>504</v>
      </c>
      <c r="B16" s="83" t="s">
        <v>600</v>
      </c>
      <c r="C16" s="83" t="s">
        <v>506</v>
      </c>
      <c r="D16" s="83" t="s">
        <v>507</v>
      </c>
      <c r="E16" s="83" t="s">
        <v>508</v>
      </c>
      <c r="F16" s="83" t="s">
        <v>601</v>
      </c>
      <c r="G16" s="83" t="s">
        <v>602</v>
      </c>
      <c r="H16" s="83" t="s">
        <v>603</v>
      </c>
    </row>
    <row r="17" spans="1:8" ht="14.25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</row>
    <row r="18" spans="1:8" ht="16.5">
      <c r="A18" s="149" t="str">
        <f>CONCATENATE("Локальная смета: ",Source!G20)</f>
        <v>Локальная смета: </v>
      </c>
      <c r="B18" s="149"/>
      <c r="C18" s="149"/>
      <c r="D18" s="149"/>
      <c r="E18" s="149"/>
      <c r="F18" s="149"/>
      <c r="G18" s="149"/>
      <c r="H18" s="149"/>
    </row>
    <row r="19" spans="1:8" ht="16.5">
      <c r="A19" s="149" t="str">
        <f>CONCATENATE("Раздел: ",Source!G24)</f>
        <v>Раздел: Ремонтные работы</v>
      </c>
      <c r="B19" s="149"/>
      <c r="C19" s="149"/>
      <c r="D19" s="149"/>
      <c r="E19" s="149"/>
      <c r="F19" s="149"/>
      <c r="G19" s="149"/>
      <c r="H19" s="149"/>
    </row>
    <row r="20" spans="1:8" ht="28.5">
      <c r="A20" s="83">
        <v>1</v>
      </c>
      <c r="B20" s="83" t="str">
        <f>Source!E28</f>
        <v>1</v>
      </c>
      <c r="C20" s="86" t="str">
        <f>Source!G28</f>
        <v>Демонтаж перегородок: из алюминиевых сплавов сборно-разборных с остеклением (Применительно)</v>
      </c>
      <c r="D20" s="83" t="s">
        <v>26</v>
      </c>
      <c r="E20" s="87">
        <f>Source!I28</f>
        <v>0.54</v>
      </c>
      <c r="F20" s="83">
        <f>Source!U24</f>
      </c>
      <c r="G20" s="83" t="str">
        <f>"=54/"&amp;"100"</f>
        <v>=54/100</v>
      </c>
      <c r="H20" s="86"/>
    </row>
    <row r="21" spans="1:8" ht="14.25">
      <c r="A21" s="83">
        <v>2</v>
      </c>
      <c r="B21" s="83" t="str">
        <f>Source!E30</f>
        <v>2</v>
      </c>
      <c r="C21" s="86" t="str">
        <f>Source!G30</f>
        <v>Демонтаж металлоконструкций(Применительно)</v>
      </c>
      <c r="D21" s="83" t="s">
        <v>41</v>
      </c>
      <c r="E21" s="87">
        <f>Source!I30</f>
        <v>0.2</v>
      </c>
      <c r="F21" s="83">
        <f>Source!U24</f>
      </c>
      <c r="G21" s="83">
        <f>Source!I30</f>
        <v>0.2</v>
      </c>
      <c r="H21" s="86"/>
    </row>
    <row r="22" spans="1:8" ht="14.25">
      <c r="A22" s="83">
        <v>3</v>
      </c>
      <c r="B22" s="83" t="str">
        <f>Source!E58</f>
        <v>3</v>
      </c>
      <c r="C22" s="86" t="str">
        <f>Source!G58</f>
        <v>Срезка анкерных болтов (Применительно)</v>
      </c>
      <c r="D22" s="83" t="s">
        <v>41</v>
      </c>
      <c r="E22" s="87">
        <f>Source!I58</f>
        <v>0.015</v>
      </c>
      <c r="F22" s="83">
        <f>Source!U24</f>
      </c>
      <c r="G22" s="83">
        <f>Source!I58</f>
        <v>0.015</v>
      </c>
      <c r="H22" s="86"/>
    </row>
    <row r="23" spans="1:8" ht="14.25">
      <c r="A23" s="83">
        <v>4</v>
      </c>
      <c r="B23" s="83" t="str">
        <f>Source!E64</f>
        <v>4</v>
      </c>
      <c r="C23" s="86" t="str">
        <f>Source!G64</f>
        <v>Монтаж подконструкции (Применительно)</v>
      </c>
      <c r="D23" s="83" t="s">
        <v>41</v>
      </c>
      <c r="E23" s="87">
        <f>Source!I64</f>
        <v>0.24</v>
      </c>
      <c r="F23" s="83">
        <f>Source!U24</f>
      </c>
      <c r="G23" s="83">
        <f>Source!I64</f>
        <v>0.24</v>
      </c>
      <c r="H23" s="86"/>
    </row>
    <row r="24" spans="1:8" ht="28.5">
      <c r="A24" s="83">
        <v>4.1</v>
      </c>
      <c r="B24" s="83" t="str">
        <f>Source!E66</f>
        <v>4,1</v>
      </c>
      <c r="C24" s="86" t="str">
        <f>Source!G66</f>
        <v>Элементы конструктивные вспомогательного назначения с преобладанием профильного проката с отверстиями</v>
      </c>
      <c r="D24" s="83" t="s">
        <v>41</v>
      </c>
      <c r="E24" s="87">
        <f>Source!I66</f>
        <v>0.24</v>
      </c>
      <c r="F24" s="83">
        <f>Source!U24</f>
      </c>
      <c r="G24" s="83"/>
      <c r="H24" s="86"/>
    </row>
    <row r="25" spans="1:8" ht="28.5">
      <c r="A25" s="83">
        <v>5</v>
      </c>
      <c r="B25" s="83" t="str">
        <f>Source!E68</f>
        <v>5</v>
      </c>
      <c r="C25" s="86" t="str">
        <f>Source!G68</f>
        <v>Сверление в железобетонных конструкциях вертикальных отверстий глубиной 200 мм диаметром: 20 мм (Применительно)</v>
      </c>
      <c r="D25" s="83" t="s">
        <v>128</v>
      </c>
      <c r="E25" s="87">
        <f>Source!I68</f>
        <v>0.24</v>
      </c>
      <c r="F25" s="83">
        <f>Source!U24</f>
      </c>
      <c r="G25" s="83" t="str">
        <f>"=24/"&amp;"100"</f>
        <v>=24/100</v>
      </c>
      <c r="H25" s="86"/>
    </row>
    <row r="26" spans="1:8" ht="14.25">
      <c r="A26" s="83">
        <v>5.1</v>
      </c>
      <c r="B26" s="83" t="str">
        <f>Source!E70</f>
        <v>5,1</v>
      </c>
      <c r="C26" s="86" t="str">
        <f>Source!G70</f>
        <v>Бур с ограничителем TE-C-HDA-B 22х155 для анкеров HDA</v>
      </c>
      <c r="D26" s="83" t="s">
        <v>109</v>
      </c>
      <c r="E26" s="87">
        <f>Source!I70</f>
        <v>2</v>
      </c>
      <c r="F26" s="83">
        <f>Source!U24</f>
      </c>
      <c r="G26" s="83"/>
      <c r="H26" s="86"/>
    </row>
    <row r="27" spans="1:8" ht="14.25">
      <c r="A27" s="83">
        <v>6</v>
      </c>
      <c r="B27" s="83" t="str">
        <f>Source!E72</f>
        <v>6</v>
      </c>
      <c r="C27" s="86" t="str">
        <f>Source!G72</f>
        <v>Установка анкерных болтов: в готовые гнезда с заделкой длиной до 1 м</v>
      </c>
      <c r="D27" s="83" t="s">
        <v>41</v>
      </c>
      <c r="E27" s="87">
        <f>Source!I72</f>
        <v>0.012</v>
      </c>
      <c r="F27" s="83">
        <f>Source!U24</f>
      </c>
      <c r="G27" s="83">
        <f>Source!I72</f>
        <v>0.012</v>
      </c>
      <c r="H27" s="86"/>
    </row>
    <row r="28" spans="1:8" ht="28.5">
      <c r="A28" s="83">
        <v>7</v>
      </c>
      <c r="B28" s="83" t="str">
        <f>Source!E74</f>
        <v>7</v>
      </c>
      <c r="C28" s="86" t="str">
        <f>Source!G74</f>
        <v>Монтаж перегородок: из алюминиевых сплавов сборно-разборных с остеклением</v>
      </c>
      <c r="D28" s="83" t="s">
        <v>26</v>
      </c>
      <c r="E28" s="87">
        <f>Source!I74</f>
        <v>0.42</v>
      </c>
      <c r="F28" s="83">
        <f>Source!U24</f>
      </c>
      <c r="G28" s="83" t="str">
        <f>"=42/"&amp;"100"</f>
        <v>=42/100</v>
      </c>
      <c r="H28" s="86"/>
    </row>
    <row r="29" spans="1:8" ht="57">
      <c r="A29" s="83">
        <v>7.1</v>
      </c>
      <c r="B29" s="83" t="str">
        <f>Source!E76</f>
        <v>7,1</v>
      </c>
      <c r="C29" s="86" t="str">
        <f>Source!G76</f>
        <v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v>
      </c>
      <c r="D29" s="83" t="s">
        <v>146</v>
      </c>
      <c r="E29" s="87">
        <f>Source!I76</f>
        <v>42</v>
      </c>
      <c r="F29" s="83">
        <f>Source!U24</f>
      </c>
      <c r="G29" s="83"/>
      <c r="H29" s="86"/>
    </row>
    <row r="30" spans="1:8" ht="14.25">
      <c r="A30" s="83">
        <v>7.2</v>
      </c>
      <c r="B30" s="83" t="str">
        <f>Source!E78</f>
        <v>7,2</v>
      </c>
      <c r="C30" s="86" t="str">
        <f>Source!G78</f>
        <v>Монтажные комплектующие</v>
      </c>
      <c r="D30" s="83" t="s">
        <v>150</v>
      </c>
      <c r="E30" s="87">
        <f>Source!I78</f>
        <v>1</v>
      </c>
      <c r="F30" s="83">
        <f>Source!U24</f>
      </c>
      <c r="G30" s="83"/>
      <c r="H30" s="86"/>
    </row>
    <row r="31" spans="1:8" ht="14.25">
      <c r="A31" s="83">
        <v>8</v>
      </c>
      <c r="B31" s="83" t="str">
        <f>Source!E80</f>
        <v>8</v>
      </c>
      <c r="C31" s="86" t="str">
        <f>Source!G80</f>
        <v>Установка алюминиевых: нащельников</v>
      </c>
      <c r="D31" s="83" t="s">
        <v>154</v>
      </c>
      <c r="E31" s="87">
        <f>Source!I80</f>
        <v>0.72</v>
      </c>
      <c r="F31" s="83">
        <f>Source!U24</f>
      </c>
      <c r="G31" s="83" t="str">
        <f>"=72/"&amp;"100"</f>
        <v>=72/100</v>
      </c>
      <c r="H31" s="86"/>
    </row>
    <row r="32" spans="1:8" ht="14.25">
      <c r="A32" s="83">
        <v>8.1</v>
      </c>
      <c r="B32" s="83" t="str">
        <f>Source!E82</f>
        <v>8,1</v>
      </c>
      <c r="C32" s="86" t="str">
        <f>Source!G82</f>
        <v>Нащельники и детали примыканий</v>
      </c>
      <c r="D32" s="83" t="s">
        <v>158</v>
      </c>
      <c r="E32" s="87">
        <f>Source!I82</f>
        <v>72</v>
      </c>
      <c r="F32" s="83">
        <f>Source!U24</f>
      </c>
      <c r="G32" s="83"/>
      <c r="H32" s="86"/>
    </row>
    <row r="33" spans="1:8" ht="28.5">
      <c r="A33" s="83">
        <v>9</v>
      </c>
      <c r="B33" s="83" t="str">
        <f>Source!E84</f>
        <v>9</v>
      </c>
      <c r="C33" s="86" t="str">
        <f>Source!G84</f>
        <v>Установка автоматических раздвижных дверей: одностворчатых, весом створки до 200 кг</v>
      </c>
      <c r="D33" s="83" t="s">
        <v>150</v>
      </c>
      <c r="E33" s="87">
        <f>Source!I84</f>
        <v>2</v>
      </c>
      <c r="F33" s="83">
        <f>Source!U24</f>
      </c>
      <c r="G33" s="83">
        <f>Source!I84</f>
        <v>2</v>
      </c>
      <c r="H33" s="86"/>
    </row>
    <row r="34" spans="1:8" ht="114">
      <c r="A34" s="83">
        <v>9.1</v>
      </c>
      <c r="B34" s="83" t="str">
        <f>Source!E86</f>
        <v>9,1</v>
      </c>
      <c r="C34" s="86" t="str">
        <f>Source!G86</f>
        <v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AL. Заполнение: стеклопакет 6зак+20+6зак. внешняя.                                          Направляющие нерж. сталь.Панель управления. Радар Eagle. Фотоэлементы. Электромагнитный замок.).</v>
      </c>
      <c r="D34" s="83" t="s">
        <v>170</v>
      </c>
      <c r="E34" s="87">
        <f>Source!I86</f>
        <v>1</v>
      </c>
      <c r="F34" s="83">
        <f>Source!U24</f>
      </c>
      <c r="G34" s="83"/>
      <c r="H34" s="86"/>
    </row>
    <row r="35" spans="1:8" ht="99.75">
      <c r="A35" s="83">
        <v>9.2</v>
      </c>
      <c r="B35" s="83" t="str">
        <f>Source!E88</f>
        <v>9,2</v>
      </c>
      <c r="C35" s="86" t="str">
        <f>Source!G88</f>
        <v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A. Заполнение - триплекс 9 мм. Направляющие нерж. сталь.Панель управления. Радар Eagle. Фотоэлементы. Электромагнитный замок.)</v>
      </c>
      <c r="D35" s="83" t="s">
        <v>170</v>
      </c>
      <c r="E35" s="87">
        <f>Source!I88</f>
        <v>1</v>
      </c>
      <c r="F35" s="83">
        <f>Source!U24</f>
      </c>
      <c r="G35" s="83"/>
      <c r="H35" s="86"/>
    </row>
    <row r="36" spans="1:8" ht="28.5">
      <c r="A36" s="83">
        <v>10</v>
      </c>
      <c r="B36" s="83" t="str">
        <f>Source!E90</f>
        <v>10</v>
      </c>
      <c r="C36" s="86" t="str">
        <f>Source!G90</f>
        <v>Гидроизоляция набухающей самоклеящейся лентой: горизонтальных швов</v>
      </c>
      <c r="D36" s="83" t="s">
        <v>154</v>
      </c>
      <c r="E36" s="87">
        <f>Source!I90</f>
        <v>0.138</v>
      </c>
      <c r="F36" s="83">
        <f>Source!U24</f>
      </c>
      <c r="G36" s="83" t="str">
        <f>"=13,8/"&amp;"100"</f>
        <v>=13,8/100</v>
      </c>
      <c r="H36" s="86"/>
    </row>
    <row r="37" spans="1:8" ht="28.5">
      <c r="A37" s="83">
        <v>10.1</v>
      </c>
      <c r="B37" s="83" t="str">
        <f>Source!E92</f>
        <v>10,1</v>
      </c>
      <c r="C37" s="86" t="str">
        <f>Source!G92</f>
        <v>Лента герметизирующая самоклеящая Герлен-Д шириной: 100 мм толщиной 3 мм</v>
      </c>
      <c r="D37" s="83" t="s">
        <v>51</v>
      </c>
      <c r="E37" s="87">
        <f>Source!I92</f>
        <v>5.25</v>
      </c>
      <c r="F37" s="83">
        <f>Source!U24</f>
      </c>
      <c r="G37" s="83"/>
      <c r="H37" s="86"/>
    </row>
    <row r="38" spans="1:8" ht="14.25">
      <c r="A38" s="83">
        <v>11</v>
      </c>
      <c r="B38" s="83" t="str">
        <f>Source!E94</f>
        <v>11</v>
      </c>
      <c r="C38" s="86" t="str">
        <f>Source!G94</f>
        <v>Укладка металлического накладного профиля (порога)</v>
      </c>
      <c r="D38" s="83" t="s">
        <v>154</v>
      </c>
      <c r="E38" s="87">
        <f>Source!I94</f>
        <v>0.03</v>
      </c>
      <c r="F38" s="83">
        <f>Source!U24</f>
      </c>
      <c r="G38" s="83" t="str">
        <f>"=3/"&amp;"100"</f>
        <v>=3/100</v>
      </c>
      <c r="H38" s="86"/>
    </row>
    <row r="39" spans="1:8" ht="28.5">
      <c r="A39" s="83">
        <v>11.1</v>
      </c>
      <c r="B39" s="83" t="str">
        <f>Source!E96</f>
        <v>11,1</v>
      </c>
      <c r="C39" s="86" t="str">
        <f>Source!G96</f>
        <v>Профили стыкоперекрывающие из алюминиевых сплавов (порожки) с покрытием, шириной 60 мм</v>
      </c>
      <c r="D39" s="83" t="s">
        <v>158</v>
      </c>
      <c r="E39" s="87">
        <f>Source!I96</f>
        <v>3.15</v>
      </c>
      <c r="F39" s="83">
        <f>Source!U24</f>
      </c>
      <c r="G39" s="83"/>
      <c r="H39" s="86"/>
    </row>
    <row r="40" spans="1:8" ht="28.5">
      <c r="A40" s="83">
        <v>12</v>
      </c>
      <c r="B40" s="83" t="str">
        <f>Source!E98</f>
        <v>12</v>
      </c>
      <c r="C40" s="86" t="str">
        <f>Source!G98</f>
        <v>Установка блоков в наружных и внутренних дверных проемах: в каменных стенах, площадь проема более 3 м2</v>
      </c>
      <c r="D40" s="83" t="s">
        <v>26</v>
      </c>
      <c r="E40" s="87">
        <f>Source!I98</f>
        <v>0.056</v>
      </c>
      <c r="F40" s="83">
        <f>Source!U24</f>
      </c>
      <c r="G40" s="83" t="str">
        <f>"=5,6/"&amp;"100"</f>
        <v>=5,6/100</v>
      </c>
      <c r="H40" s="86"/>
    </row>
    <row r="41" spans="1:8" ht="71.25">
      <c r="A41" s="83">
        <v>12.1</v>
      </c>
      <c r="B41" s="83" t="str">
        <f>Source!E100</f>
        <v>12,1</v>
      </c>
      <c r="C41" s="86" t="str">
        <f>Source!G100</f>
        <v>Дверной блок светопрозрачный, распашной одностворчатый (1320*2360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v>
      </c>
      <c r="D41" s="83" t="s">
        <v>170</v>
      </c>
      <c r="E41" s="87">
        <f>Source!I100</f>
        <v>2</v>
      </c>
      <c r="F41" s="83">
        <f>Source!U24</f>
      </c>
      <c r="G41" s="83"/>
      <c r="H41" s="86"/>
    </row>
    <row r="42" spans="1:8" ht="14.25">
      <c r="A42" s="83">
        <v>13</v>
      </c>
      <c r="B42" s="83" t="str">
        <f>Source!E102</f>
        <v>13</v>
      </c>
      <c r="C42" s="86" t="str">
        <f>Source!G102</f>
        <v>Установка: дверного доводчика</v>
      </c>
      <c r="D42" s="83" t="s">
        <v>204</v>
      </c>
      <c r="E42" s="87">
        <f>Source!I102</f>
        <v>0.02</v>
      </c>
      <c r="F42" s="83">
        <f>Source!U24</f>
      </c>
      <c r="G42" s="83" t="str">
        <f>"=2/"&amp;"100"</f>
        <v>=2/100</v>
      </c>
      <c r="H42" s="86"/>
    </row>
    <row r="43" spans="1:8" ht="16.5">
      <c r="A43" s="149" t="str">
        <f>CONCATENATE("Раздел: ",Source!G136)</f>
        <v>Раздел: Разные работы</v>
      </c>
      <c r="B43" s="149"/>
      <c r="C43" s="149"/>
      <c r="D43" s="149"/>
      <c r="E43" s="149"/>
      <c r="F43" s="149"/>
      <c r="G43" s="149"/>
      <c r="H43" s="149"/>
    </row>
    <row r="44" spans="1:8" ht="28.5">
      <c r="A44" s="83">
        <v>14</v>
      </c>
      <c r="B44" s="83" t="str">
        <f>Source!E140</f>
        <v>14</v>
      </c>
      <c r="C44" s="86" t="str">
        <f>Source!G140</f>
        <v>Погрузка при автомобильных перевозках мусора строительного с погрузкой вручную</v>
      </c>
      <c r="D44" s="83" t="s">
        <v>266</v>
      </c>
      <c r="E44" s="87">
        <f>Source!I140</f>
        <v>2</v>
      </c>
      <c r="F44" s="83">
        <f>Source!U136</f>
      </c>
      <c r="G44" s="83">
        <f>Source!I140</f>
        <v>2</v>
      </c>
      <c r="H44" s="86"/>
    </row>
    <row r="45" spans="1:8" ht="28.5">
      <c r="A45" s="82">
        <v>15</v>
      </c>
      <c r="B45" s="82" t="str">
        <f>Source!E142</f>
        <v>15</v>
      </c>
      <c r="C45" s="84" t="str">
        <f>Source!G142</f>
        <v>Перевозка грузов I класса автомобилями бортовыми грузоподъемностью до 15 т на расстояние до 50 км</v>
      </c>
      <c r="D45" s="82" t="s">
        <v>266</v>
      </c>
      <c r="E45" s="85">
        <f>Source!I142</f>
        <v>2</v>
      </c>
      <c r="F45" s="82">
        <f>Source!U136</f>
      </c>
      <c r="G45" s="82">
        <f>Source!I142</f>
        <v>2</v>
      </c>
      <c r="H45" s="84"/>
    </row>
    <row r="48" spans="2:5" ht="15">
      <c r="B48" s="88" t="s">
        <v>604</v>
      </c>
      <c r="C48" s="14"/>
      <c r="D48" s="89" t="s">
        <v>605</v>
      </c>
      <c r="E48" s="90"/>
    </row>
  </sheetData>
  <sheetProtection/>
  <mergeCells count="7">
    <mergeCell ref="A43:H43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6"/>
  <sheetViews>
    <sheetView zoomScalePageLayoutView="0" workbookViewId="0" topLeftCell="A115">
      <selection activeCell="A1" sqref="A1"/>
    </sheetView>
  </sheetViews>
  <sheetFormatPr defaultColWidth="9.140625" defaultRowHeight="12.75"/>
  <cols>
    <col min="1" max="2" width="5.7109375" style="0" customWidth="1"/>
    <col min="3" max="3" width="40.7109375" style="0" customWidth="1"/>
    <col min="4" max="8" width="12.7109375" style="0" customWidth="1"/>
    <col min="20" max="30" width="0" style="0" hidden="1" customWidth="1"/>
    <col min="31" max="31" width="64.7109375" style="0" hidden="1" customWidth="1"/>
    <col min="32" max="32" width="0" style="0" hidden="1" customWidth="1"/>
    <col min="33" max="33" width="76.7109375" style="0" hidden="1" customWidth="1"/>
    <col min="34" max="37" width="0" style="0" hidden="1" customWidth="1"/>
  </cols>
  <sheetData>
    <row r="1" ht="12.75">
      <c r="A1" s="12" t="str">
        <f>Source!B1</f>
        <v>Smeta.RU  (495) 974-1589</v>
      </c>
    </row>
    <row r="2" spans="1:8" ht="15">
      <c r="A2" s="54"/>
      <c r="B2" s="54"/>
      <c r="C2" s="54"/>
      <c r="D2" s="54"/>
      <c r="E2" s="153" t="s">
        <v>606</v>
      </c>
      <c r="F2" s="153"/>
      <c r="G2" s="153"/>
      <c r="H2" s="153"/>
    </row>
    <row r="3" spans="1:8" ht="14.25">
      <c r="A3" s="14"/>
      <c r="B3" s="14"/>
      <c r="C3" s="14"/>
      <c r="D3" s="14"/>
      <c r="E3" s="153" t="s">
        <v>607</v>
      </c>
      <c r="F3" s="153"/>
      <c r="G3" s="153"/>
      <c r="H3" s="153"/>
    </row>
    <row r="4" spans="1:8" ht="14.25">
      <c r="A4" s="14"/>
      <c r="B4" s="14"/>
      <c r="C4" s="14"/>
      <c r="D4" s="14"/>
      <c r="E4" s="153" t="s">
        <v>608</v>
      </c>
      <c r="F4" s="153"/>
      <c r="G4" s="153"/>
      <c r="H4" s="153"/>
    </row>
    <row r="5" spans="1:8" ht="14.25">
      <c r="A5" s="14"/>
      <c r="B5" s="14"/>
      <c r="C5" s="14"/>
      <c r="D5" s="14"/>
      <c r="E5" s="14"/>
      <c r="F5" s="14"/>
      <c r="G5" s="14"/>
      <c r="H5" s="14"/>
    </row>
    <row r="6" spans="1:8" ht="14.25">
      <c r="A6" s="14"/>
      <c r="B6" s="14"/>
      <c r="C6" s="14"/>
      <c r="D6" s="14"/>
      <c r="E6" s="14"/>
      <c r="F6" s="14"/>
      <c r="G6" s="154" t="s">
        <v>609</v>
      </c>
      <c r="H6" s="155"/>
    </row>
    <row r="7" spans="1:8" ht="14.25">
      <c r="A7" s="14"/>
      <c r="B7" s="14"/>
      <c r="C7" s="14"/>
      <c r="D7" s="14"/>
      <c r="E7" s="14"/>
      <c r="F7" s="57" t="s">
        <v>610</v>
      </c>
      <c r="G7" s="156" t="s">
        <v>611</v>
      </c>
      <c r="H7" s="155"/>
    </row>
    <row r="8" spans="1:8" ht="14.25">
      <c r="A8" s="14"/>
      <c r="B8" s="14"/>
      <c r="C8" s="14"/>
      <c r="D8" s="14"/>
      <c r="E8" s="14"/>
      <c r="F8" s="14"/>
      <c r="G8" s="154">
        <f>IF(Source!AT15&lt;&gt;"",Source!AT15,"")</f>
      </c>
      <c r="H8" s="155"/>
    </row>
    <row r="9" spans="1:8" ht="14.25">
      <c r="A9" s="14" t="s">
        <v>612</v>
      </c>
      <c r="B9" s="14"/>
      <c r="C9" s="159">
        <f>IF(Source!BA15&lt;&gt;"",Source!BA15,IF(Source!AU15&lt;&gt;"",Source!AU15,""))</f>
      </c>
      <c r="D9" s="159"/>
      <c r="E9" s="159"/>
      <c r="F9" s="57" t="s">
        <v>613</v>
      </c>
      <c r="G9" s="157"/>
      <c r="H9" s="158"/>
    </row>
    <row r="10" spans="1:8" ht="14.25">
      <c r="A10" s="14"/>
      <c r="B10" s="14"/>
      <c r="C10" s="129" t="s">
        <v>614</v>
      </c>
      <c r="D10" s="129"/>
      <c r="E10" s="129"/>
      <c r="F10" s="14"/>
      <c r="G10" s="154">
        <f>IF(Source!AK15&lt;&gt;"",Source!AK15,"")</f>
      </c>
      <c r="H10" s="155"/>
    </row>
    <row r="11" spans="1:8" ht="14.25">
      <c r="A11" s="14" t="s">
        <v>615</v>
      </c>
      <c r="B11" s="14"/>
      <c r="C11" s="159" t="str">
        <f>IF(Source!AX12&lt;&gt;"",Source!AX12,IF(Source!AJ12&lt;&gt;"",Source!AJ12,""))</f>
        <v>ИПУ РАН</v>
      </c>
      <c r="D11" s="159"/>
      <c r="E11" s="159"/>
      <c r="F11" s="57" t="s">
        <v>613</v>
      </c>
      <c r="G11" s="157"/>
      <c r="H11" s="158"/>
    </row>
    <row r="12" spans="1:8" ht="14.25">
      <c r="A12" s="14"/>
      <c r="B12" s="14"/>
      <c r="C12" s="129" t="s">
        <v>614</v>
      </c>
      <c r="D12" s="129"/>
      <c r="E12" s="129"/>
      <c r="F12" s="14"/>
      <c r="G12" s="154">
        <f>IF(Source!AO15&lt;&gt;"",Source!AO15,"")</f>
      </c>
      <c r="H12" s="155"/>
    </row>
    <row r="13" spans="1:8" ht="14.25">
      <c r="A13" s="14" t="s">
        <v>616</v>
      </c>
      <c r="B13" s="14"/>
      <c r="C13" s="159">
        <f>IF(Source!AY12&lt;&gt;"",Source!AY12,IF(Source!AN12&lt;&gt;"",Source!AN12,""))</f>
      </c>
      <c r="D13" s="159"/>
      <c r="E13" s="159"/>
      <c r="F13" s="57" t="s">
        <v>613</v>
      </c>
      <c r="G13" s="157"/>
      <c r="H13" s="158"/>
    </row>
    <row r="14" spans="1:8" ht="14.25">
      <c r="A14" s="14"/>
      <c r="B14" s="14"/>
      <c r="C14" s="129" t="s">
        <v>614</v>
      </c>
      <c r="D14" s="129"/>
      <c r="E14" s="129"/>
      <c r="F14" s="14"/>
      <c r="G14" s="154">
        <f>IF(Source!CO15&lt;&gt;"",Source!CO15,"")</f>
      </c>
      <c r="H14" s="155"/>
    </row>
    <row r="15" spans="1:31" ht="28.5">
      <c r="A15" s="14" t="s">
        <v>617</v>
      </c>
      <c r="B15" s="14"/>
      <c r="C15" s="159" t="s">
        <v>4</v>
      </c>
      <c r="D15" s="159"/>
      <c r="E15" s="159"/>
      <c r="F15" s="14"/>
      <c r="G15" s="157"/>
      <c r="H15" s="158"/>
      <c r="AE15" s="55" t="s">
        <v>4</v>
      </c>
    </row>
    <row r="16" spans="1:8" ht="14.25">
      <c r="A16" s="14"/>
      <c r="B16" s="14"/>
      <c r="C16" s="129" t="s">
        <v>618</v>
      </c>
      <c r="D16" s="129"/>
      <c r="E16" s="129"/>
      <c r="F16" s="14"/>
      <c r="G16" s="154">
        <f>IF(Source!CP15&lt;&gt;"",Source!CP15,"")</f>
      </c>
      <c r="H16" s="155"/>
    </row>
    <row r="17" spans="1:31" ht="28.5">
      <c r="A17" s="14" t="s">
        <v>619</v>
      </c>
      <c r="B17" s="14"/>
      <c r="C17" s="159" t="str">
        <f>IF(Source!G12&lt;&gt;"Новый объект",Source!G12,"")</f>
        <v>Выполнение работ по замене ограждающих конструкций стен тамбура главного входа ИПУ РАН</v>
      </c>
      <c r="D17" s="159"/>
      <c r="E17" s="159"/>
      <c r="F17" s="14"/>
      <c r="G17" s="160"/>
      <c r="H17" s="161"/>
      <c r="AE17" s="55" t="str">
        <f>IF(Source!G12&lt;&gt;"Новый объект",Source!G12,"")</f>
        <v>Выполнение работ по замене ограждающих конструкций стен тамбура главного входа ИПУ РАН</v>
      </c>
    </row>
    <row r="18" spans="1:8" ht="14.25">
      <c r="A18" s="14"/>
      <c r="B18" s="14"/>
      <c r="C18" s="129" t="s">
        <v>620</v>
      </c>
      <c r="D18" s="129"/>
      <c r="E18" s="129"/>
      <c r="F18" s="14"/>
      <c r="G18" s="14"/>
      <c r="H18" s="14"/>
    </row>
    <row r="19" spans="1:8" ht="14.25">
      <c r="A19" s="14"/>
      <c r="B19" s="14"/>
      <c r="C19" s="14"/>
      <c r="D19" s="165" t="s">
        <v>621</v>
      </c>
      <c r="E19" s="165"/>
      <c r="F19" s="166"/>
      <c r="G19" s="154">
        <f>IF(Source!CQ15&lt;&gt;"",Source!CQ15,"")</f>
      </c>
      <c r="H19" s="155"/>
    </row>
    <row r="20" spans="1:8" ht="14.25">
      <c r="A20" s="14"/>
      <c r="B20" s="14"/>
      <c r="C20" s="14"/>
      <c r="D20" s="165" t="s">
        <v>622</v>
      </c>
      <c r="E20" s="166"/>
      <c r="F20" s="91" t="s">
        <v>623</v>
      </c>
      <c r="G20" s="154">
        <f>IF(Source!CR15&lt;&gt;"",Source!CR15,"")</f>
      </c>
      <c r="H20" s="155"/>
    </row>
    <row r="21" spans="1:8" ht="14.25">
      <c r="A21" s="14"/>
      <c r="B21" s="14"/>
      <c r="C21" s="14"/>
      <c r="D21" s="14"/>
      <c r="E21" s="14"/>
      <c r="F21" s="42" t="s">
        <v>624</v>
      </c>
      <c r="G21" s="167">
        <f>IF(Source!CS15&lt;&gt;0,Source!CS15,"")</f>
      </c>
      <c r="H21" s="168"/>
    </row>
    <row r="22" spans="1:8" ht="14.25">
      <c r="A22" s="14"/>
      <c r="B22" s="14"/>
      <c r="C22" s="14"/>
      <c r="D22" s="14"/>
      <c r="E22" s="14"/>
      <c r="F22" s="57" t="s">
        <v>625</v>
      </c>
      <c r="G22" s="162">
        <f>IF(Source!CT15&lt;&gt;"",Source!CT15,"")</f>
      </c>
      <c r="H22" s="163"/>
    </row>
    <row r="23" spans="1:8" ht="14.25">
      <c r="A23" s="14"/>
      <c r="B23" s="14"/>
      <c r="C23" s="14"/>
      <c r="D23" s="14"/>
      <c r="E23" s="14"/>
      <c r="F23" s="14"/>
      <c r="G23" s="14"/>
      <c r="H23" s="14"/>
    </row>
    <row r="24" spans="1:8" ht="14.25">
      <c r="A24" s="14"/>
      <c r="B24" s="14"/>
      <c r="C24" s="14"/>
      <c r="D24" s="130" t="s">
        <v>626</v>
      </c>
      <c r="E24" s="135" t="s">
        <v>627</v>
      </c>
      <c r="F24" s="135" t="s">
        <v>628</v>
      </c>
      <c r="G24" s="137"/>
      <c r="H24" s="14"/>
    </row>
    <row r="25" spans="1:8" ht="14.25">
      <c r="A25" s="14"/>
      <c r="B25" s="14"/>
      <c r="C25" s="14"/>
      <c r="D25" s="132"/>
      <c r="E25" s="138"/>
      <c r="F25" s="92" t="s">
        <v>629</v>
      </c>
      <c r="G25" s="93" t="s">
        <v>630</v>
      </c>
      <c r="H25" s="14"/>
    </row>
    <row r="26" spans="1:8" ht="14.25">
      <c r="A26" s="14"/>
      <c r="B26" s="14"/>
      <c r="C26" s="14"/>
      <c r="D26" s="94">
        <f>IF(Source!CN15&lt;&gt;"",Source!CN15,"")</f>
      </c>
      <c r="E26" s="95">
        <f>IF(Source!CX15&lt;&gt;0,Source!CX15,"")</f>
      </c>
      <c r="F26" s="95">
        <f>IF(Source!CV15&lt;&gt;0,Source!CV15,"")</f>
      </c>
      <c r="G26" s="95">
        <f>IF(Source!CW15&lt;&gt;0,Source!CW15,"")</f>
      </c>
      <c r="H26" s="14"/>
    </row>
    <row r="27" spans="1:8" ht="14.25">
      <c r="A27" s="14"/>
      <c r="B27" s="14"/>
      <c r="C27" s="14"/>
      <c r="D27" s="14"/>
      <c r="E27" s="14"/>
      <c r="F27" s="14"/>
      <c r="G27" s="14"/>
      <c r="H27" s="14"/>
    </row>
    <row r="28" spans="1:8" ht="18">
      <c r="A28" s="164" t="s">
        <v>631</v>
      </c>
      <c r="B28" s="164"/>
      <c r="C28" s="164"/>
      <c r="D28" s="164"/>
      <c r="E28" s="164"/>
      <c r="F28" s="164"/>
      <c r="G28" s="164"/>
      <c r="H28" s="164"/>
    </row>
    <row r="29" spans="1:8" ht="18">
      <c r="A29" s="164" t="s">
        <v>632</v>
      </c>
      <c r="B29" s="164"/>
      <c r="C29" s="164"/>
      <c r="D29" s="164"/>
      <c r="E29" s="164"/>
      <c r="F29" s="164"/>
      <c r="G29" s="164"/>
      <c r="H29" s="164"/>
    </row>
    <row r="30" spans="1:8" ht="14.25">
      <c r="A30" s="14"/>
      <c r="B30" s="14"/>
      <c r="C30" s="14"/>
      <c r="D30" s="14"/>
      <c r="E30" s="14"/>
      <c r="F30" s="14"/>
      <c r="G30" s="14"/>
      <c r="H30" s="14"/>
    </row>
    <row r="31" spans="1:8" ht="15">
      <c r="A31" s="11" t="s">
        <v>633</v>
      </c>
      <c r="B31" s="14"/>
      <c r="C31" s="14"/>
      <c r="D31" s="14"/>
      <c r="E31" s="14"/>
      <c r="F31" s="170">
        <f>ROUND((Source!P242/1000),2)</f>
        <v>3556.91</v>
      </c>
      <c r="G31" s="170"/>
      <c r="H31" s="14" t="s">
        <v>634</v>
      </c>
    </row>
    <row r="32" spans="1:8" ht="14.25">
      <c r="A32" s="14"/>
      <c r="B32" s="14"/>
      <c r="C32" s="14"/>
      <c r="D32" s="14"/>
      <c r="E32" s="14"/>
      <c r="F32" s="14"/>
      <c r="G32" s="14"/>
      <c r="H32" s="14"/>
    </row>
    <row r="33" spans="1:8" ht="14.25">
      <c r="A33" s="171" t="s">
        <v>635</v>
      </c>
      <c r="B33" s="171"/>
      <c r="C33" s="171" t="s">
        <v>636</v>
      </c>
      <c r="D33" s="171" t="s">
        <v>637</v>
      </c>
      <c r="E33" s="171" t="s">
        <v>507</v>
      </c>
      <c r="F33" s="171" t="s">
        <v>638</v>
      </c>
      <c r="G33" s="171"/>
      <c r="H33" s="171"/>
    </row>
    <row r="34" spans="1:8" ht="57">
      <c r="A34" s="82" t="s">
        <v>639</v>
      </c>
      <c r="B34" s="82" t="s">
        <v>640</v>
      </c>
      <c r="C34" s="171"/>
      <c r="D34" s="171"/>
      <c r="E34" s="171"/>
      <c r="F34" s="82" t="s">
        <v>508</v>
      </c>
      <c r="G34" s="82" t="s">
        <v>641</v>
      </c>
      <c r="H34" s="82" t="s">
        <v>642</v>
      </c>
    </row>
    <row r="35" spans="1:8" ht="14.25">
      <c r="A35" s="82">
        <v>1</v>
      </c>
      <c r="B35" s="82">
        <v>2</v>
      </c>
      <c r="C35" s="82">
        <v>3</v>
      </c>
      <c r="D35" s="82">
        <v>4</v>
      </c>
      <c r="E35" s="82">
        <v>5</v>
      </c>
      <c r="F35" s="82">
        <v>6</v>
      </c>
      <c r="G35" s="82">
        <v>7</v>
      </c>
      <c r="H35" s="82">
        <v>8</v>
      </c>
    </row>
    <row r="37" spans="1:8" ht="16.5">
      <c r="A37" s="145" t="str">
        <f>CONCATENATE("Локальная смета: ",IF(Source!G20&lt;&gt;"Новая локальная смета",Source!G20,""))</f>
        <v>Локальная смета: </v>
      </c>
      <c r="B37" s="145"/>
      <c r="C37" s="145"/>
      <c r="D37" s="145"/>
      <c r="E37" s="145"/>
      <c r="F37" s="145"/>
      <c r="G37" s="145"/>
      <c r="H37" s="145"/>
    </row>
    <row r="39" spans="1:8" ht="16.5">
      <c r="A39" s="145" t="str">
        <f>CONCATENATE("Раздел: ",IF(Source!G24&lt;&gt;"Новый раздел",Source!G24,""))</f>
        <v>Раздел: Ремонтные работы</v>
      </c>
      <c r="B39" s="145"/>
      <c r="C39" s="145"/>
      <c r="D39" s="145"/>
      <c r="E39" s="145"/>
      <c r="F39" s="145"/>
      <c r="G39" s="145"/>
      <c r="H39" s="145"/>
    </row>
    <row r="40" spans="1:28" ht="57">
      <c r="A40" s="74">
        <v>1</v>
      </c>
      <c r="B40" s="74">
        <v>1</v>
      </c>
      <c r="C40" s="74" t="str">
        <f>Source!G29</f>
        <v>Демонтаж перегородок: из алюминиевых сплавов сборно-разборных с остеклением (Применительно)</v>
      </c>
      <c r="D40" s="74" t="str">
        <f>Source!F29</f>
        <v>09-03-046-01</v>
      </c>
      <c r="E40" s="58" t="str">
        <f>Source!H29</f>
        <v>100 м2</v>
      </c>
      <c r="F40" s="14">
        <f>Source!I29</f>
        <v>0.54</v>
      </c>
      <c r="G40" s="44">
        <f>Source!AB29</f>
        <v>2501.16</v>
      </c>
      <c r="H40" s="44">
        <f>Source!O29</f>
        <v>45192.49</v>
      </c>
      <c r="T40">
        <f>Source!O29</f>
        <v>45192.49</v>
      </c>
      <c r="U40">
        <f>Source!P29</f>
        <v>0</v>
      </c>
      <c r="V40">
        <f>Source!S29</f>
        <v>42313.72</v>
      </c>
      <c r="W40">
        <f>Source!Q29</f>
        <v>2878.77</v>
      </c>
      <c r="X40">
        <f>Source!R29</f>
        <v>465.17</v>
      </c>
      <c r="Y40">
        <f>Source!U29</f>
        <v>112.644</v>
      </c>
      <c r="Z40">
        <f>Source!V29</f>
        <v>0.93744</v>
      </c>
      <c r="AA40">
        <f>Source!X29</f>
        <v>39784.37</v>
      </c>
      <c r="AB40">
        <f>Source!Y29</f>
        <v>26522.91</v>
      </c>
    </row>
    <row r="41" spans="3:8" ht="14.25">
      <c r="C41" s="46" t="str">
        <f>"Объем: "&amp;Source!I29&amp;"=54/"&amp;"100"</f>
        <v>Объем: 0,54=54/100</v>
      </c>
      <c r="F41" s="14"/>
      <c r="G41" s="14"/>
      <c r="H41" s="14"/>
    </row>
    <row r="42" spans="3:4" ht="63.75">
      <c r="C42" s="46" t="s">
        <v>643</v>
      </c>
      <c r="D42" s="46" t="str">
        <f>Source!BO29</f>
        <v>Письмо Минстроя России от 28.08.2023 № 52355-ИФ/09</v>
      </c>
    </row>
    <row r="43" spans="3:4" ht="12.75">
      <c r="C43" s="46" t="s">
        <v>644</v>
      </c>
      <c r="D43" s="46">
        <f>Source!BA29</f>
        <v>37.34</v>
      </c>
    </row>
    <row r="44" spans="3:4" ht="12.75">
      <c r="C44" s="46" t="s">
        <v>645</v>
      </c>
      <c r="D44" s="46">
        <f>Source!BB29</f>
        <v>13.24</v>
      </c>
    </row>
    <row r="45" spans="3:4" ht="12.75">
      <c r="C45" s="46" t="s">
        <v>646</v>
      </c>
      <c r="D45" s="46">
        <f>Source!BC29</f>
        <v>6.72</v>
      </c>
    </row>
    <row r="46" spans="3:4" ht="12.75">
      <c r="C46" s="46" t="s">
        <v>647</v>
      </c>
      <c r="D46" s="46">
        <f>Source!BS29</f>
        <v>37.34</v>
      </c>
    </row>
    <row r="47" spans="3:8" ht="12.75">
      <c r="C47" s="46" t="s">
        <v>648</v>
      </c>
      <c r="D47" s="169" t="s">
        <v>29</v>
      </c>
      <c r="E47" s="169"/>
      <c r="F47" s="169"/>
      <c r="G47" s="169"/>
      <c r="H47" s="169"/>
    </row>
    <row r="48" spans="3:8" ht="12.75">
      <c r="C48" s="46" t="s">
        <v>649</v>
      </c>
      <c r="D48" s="169" t="s">
        <v>30</v>
      </c>
      <c r="E48" s="169"/>
      <c r="F48" s="169"/>
      <c r="G48" s="169"/>
      <c r="H48" s="169"/>
    </row>
    <row r="49" spans="3:8" ht="12.75">
      <c r="C49" s="46" t="s">
        <v>650</v>
      </c>
      <c r="D49" s="169" t="s">
        <v>30</v>
      </c>
      <c r="E49" s="169"/>
      <c r="F49" s="169"/>
      <c r="G49" s="169"/>
      <c r="H49" s="169"/>
    </row>
    <row r="50" spans="3:8" ht="12.75">
      <c r="C50" s="46" t="s">
        <v>651</v>
      </c>
      <c r="D50" s="169" t="s">
        <v>30</v>
      </c>
      <c r="E50" s="169"/>
      <c r="F50" s="169"/>
      <c r="G50" s="169"/>
      <c r="H50" s="169"/>
    </row>
    <row r="51" spans="3:8" ht="12.75">
      <c r="C51" s="46" t="s">
        <v>652</v>
      </c>
      <c r="D51" s="169" t="s">
        <v>30</v>
      </c>
      <c r="E51" s="169"/>
      <c r="F51" s="169"/>
      <c r="G51" s="169"/>
      <c r="H51" s="169"/>
    </row>
    <row r="52" spans="3:8" ht="12.75">
      <c r="C52" s="46" t="s">
        <v>653</v>
      </c>
      <c r="D52" s="169" t="s">
        <v>30</v>
      </c>
      <c r="E52" s="169"/>
      <c r="F52" s="169"/>
      <c r="G52" s="169"/>
      <c r="H52" s="169"/>
    </row>
    <row r="53" spans="1:28" ht="28.5">
      <c r="A53" s="74">
        <v>2</v>
      </c>
      <c r="B53" s="74">
        <v>2</v>
      </c>
      <c r="C53" s="74" t="str">
        <f>Source!G31</f>
        <v>Демонтаж металлоконструкций(Применительно)</v>
      </c>
      <c r="D53" s="74" t="str">
        <f>Source!F31</f>
        <v>09-03-002-12</v>
      </c>
      <c r="E53" s="58" t="str">
        <f>Source!H31</f>
        <v>т</v>
      </c>
      <c r="F53" s="14">
        <f>Source!I31</f>
        <v>0.2</v>
      </c>
      <c r="G53" s="44">
        <f>Source!AB31</f>
        <v>438.87</v>
      </c>
      <c r="H53" s="44">
        <f>Source!O31</f>
        <v>1699.57</v>
      </c>
      <c r="T53">
        <f>Source!O31</f>
        <v>1699.57</v>
      </c>
      <c r="U53">
        <f>Source!P31</f>
        <v>0</v>
      </c>
      <c r="V53">
        <f>Source!S31</f>
        <v>832.68</v>
      </c>
      <c r="W53">
        <f>Source!Q31</f>
        <v>866.89</v>
      </c>
      <c r="X53">
        <f>Source!R31</f>
        <v>223.97</v>
      </c>
      <c r="Y53">
        <f>Source!U31</f>
        <v>2.184</v>
      </c>
      <c r="Z53">
        <f>Source!V31</f>
        <v>0.4032</v>
      </c>
      <c r="AA53">
        <f>Source!X31</f>
        <v>982.68</v>
      </c>
      <c r="AB53">
        <f>Source!Y31</f>
        <v>655.12</v>
      </c>
    </row>
    <row r="54" spans="3:8" ht="63.75">
      <c r="C54" s="46" t="s">
        <v>643</v>
      </c>
      <c r="D54" s="46" t="str">
        <f>Source!BO31</f>
        <v>Письмо Минстроя России от 28.08.2023 № 52355-ИФ/09</v>
      </c>
      <c r="F54" s="14"/>
      <c r="G54" s="14"/>
      <c r="H54" s="14"/>
    </row>
    <row r="55" spans="3:4" ht="12.75">
      <c r="C55" s="46" t="s">
        <v>644</v>
      </c>
      <c r="D55" s="46">
        <f>Source!BA31</f>
        <v>37.34</v>
      </c>
    </row>
    <row r="56" spans="3:4" ht="12.75">
      <c r="C56" s="46" t="s">
        <v>645</v>
      </c>
      <c r="D56" s="46">
        <f>Source!BB31</f>
        <v>13.24</v>
      </c>
    </row>
    <row r="57" spans="3:4" ht="12.75">
      <c r="C57" s="46" t="s">
        <v>646</v>
      </c>
      <c r="D57" s="46">
        <f>Source!BC31</f>
        <v>6.72</v>
      </c>
    </row>
    <row r="58" spans="3:4" ht="12.75">
      <c r="C58" s="46" t="s">
        <v>647</v>
      </c>
      <c r="D58" s="46">
        <f>Source!BS31</f>
        <v>37.34</v>
      </c>
    </row>
    <row r="59" spans="3:8" ht="12.75">
      <c r="C59" s="46" t="s">
        <v>648</v>
      </c>
      <c r="D59" s="169" t="s">
        <v>29</v>
      </c>
      <c r="E59" s="169"/>
      <c r="F59" s="169"/>
      <c r="G59" s="169"/>
      <c r="H59" s="169"/>
    </row>
    <row r="60" spans="3:8" ht="12.75">
      <c r="C60" s="46" t="s">
        <v>649</v>
      </c>
      <c r="D60" s="169" t="s">
        <v>30</v>
      </c>
      <c r="E60" s="169"/>
      <c r="F60" s="169"/>
      <c r="G60" s="169"/>
      <c r="H60" s="169"/>
    </row>
    <row r="61" spans="3:8" ht="12.75">
      <c r="C61" s="46" t="s">
        <v>650</v>
      </c>
      <c r="D61" s="169" t="s">
        <v>30</v>
      </c>
      <c r="E61" s="169"/>
      <c r="F61" s="169"/>
      <c r="G61" s="169"/>
      <c r="H61" s="169"/>
    </row>
    <row r="62" spans="3:8" ht="12.75">
      <c r="C62" s="46" t="s">
        <v>651</v>
      </c>
      <c r="D62" s="169" t="s">
        <v>30</v>
      </c>
      <c r="E62" s="169"/>
      <c r="F62" s="169"/>
      <c r="G62" s="169"/>
      <c r="H62" s="169"/>
    </row>
    <row r="63" spans="3:8" ht="12.75">
      <c r="C63" s="46" t="s">
        <v>652</v>
      </c>
      <c r="D63" s="169" t="s">
        <v>30</v>
      </c>
      <c r="E63" s="169"/>
      <c r="F63" s="169"/>
      <c r="G63" s="169"/>
      <c r="H63" s="169"/>
    </row>
    <row r="64" spans="3:8" ht="12.75">
      <c r="C64" s="46" t="s">
        <v>653</v>
      </c>
      <c r="D64" s="169" t="s">
        <v>30</v>
      </c>
      <c r="E64" s="169"/>
      <c r="F64" s="169"/>
      <c r="G64" s="169"/>
      <c r="H64" s="169"/>
    </row>
    <row r="65" spans="1:28" ht="28.5">
      <c r="A65" s="74">
        <v>3</v>
      </c>
      <c r="B65" s="74">
        <v>3</v>
      </c>
      <c r="C65" s="74" t="str">
        <f>Source!G59</f>
        <v>Срезка анкерных болтов (Применительно)</v>
      </c>
      <c r="D65" s="74" t="str">
        <f>Source!F59</f>
        <v>06-03-004-01</v>
      </c>
      <c r="E65" s="58" t="str">
        <f>Source!H59</f>
        <v>т</v>
      </c>
      <c r="F65" s="14">
        <f>Source!I59</f>
        <v>0.015</v>
      </c>
      <c r="G65" s="44">
        <f>Source!AB59</f>
        <v>1828.21</v>
      </c>
      <c r="H65" s="44">
        <f>Source!O59</f>
        <v>1011.02</v>
      </c>
      <c r="T65">
        <f>Source!O59</f>
        <v>1011.02</v>
      </c>
      <c r="U65">
        <f>Source!P59</f>
        <v>0</v>
      </c>
      <c r="V65">
        <f>Source!S59</f>
        <v>1003.91</v>
      </c>
      <c r="W65">
        <f>Source!Q59</f>
        <v>7.11</v>
      </c>
      <c r="X65">
        <f>Source!R59</f>
        <v>2.87</v>
      </c>
      <c r="Y65">
        <f>Source!U59</f>
        <v>3.0344999999999995</v>
      </c>
      <c r="Z65">
        <f>Source!V59</f>
        <v>0.006194999999999999</v>
      </c>
      <c r="AA65">
        <f>Source!X59</f>
        <v>1026.92</v>
      </c>
      <c r="AB65">
        <f>Source!Y59</f>
        <v>583.93</v>
      </c>
    </row>
    <row r="66" spans="3:8" ht="63.75">
      <c r="C66" s="46" t="s">
        <v>643</v>
      </c>
      <c r="D66" s="46" t="str">
        <f>Source!BO59</f>
        <v>Письмо Минстроя России от 28.08.2023 № 52355-ИФ/09</v>
      </c>
      <c r="F66" s="14"/>
      <c r="G66" s="14"/>
      <c r="H66" s="14"/>
    </row>
    <row r="67" spans="3:4" ht="12.75">
      <c r="C67" s="46" t="s">
        <v>644</v>
      </c>
      <c r="D67" s="46">
        <f>Source!BA59</f>
        <v>37.34</v>
      </c>
    </row>
    <row r="68" spans="3:4" ht="12.75">
      <c r="C68" s="46" t="s">
        <v>645</v>
      </c>
      <c r="D68" s="46">
        <f>Source!BB59</f>
        <v>13.24</v>
      </c>
    </row>
    <row r="69" spans="3:4" ht="12.75">
      <c r="C69" s="46" t="s">
        <v>646</v>
      </c>
      <c r="D69" s="46">
        <f>Source!BC59</f>
        <v>6.72</v>
      </c>
    </row>
    <row r="70" spans="3:4" ht="12.75">
      <c r="C70" s="46" t="s">
        <v>647</v>
      </c>
      <c r="D70" s="46">
        <f>Source!BS59</f>
        <v>37.34</v>
      </c>
    </row>
    <row r="71" spans="3:8" ht="12.75">
      <c r="C71" s="46" t="s">
        <v>648</v>
      </c>
      <c r="D71" s="169" t="s">
        <v>29</v>
      </c>
      <c r="E71" s="169"/>
      <c r="F71" s="169"/>
      <c r="G71" s="169"/>
      <c r="H71" s="169"/>
    </row>
    <row r="72" spans="3:8" ht="12.75">
      <c r="C72" s="46" t="s">
        <v>649</v>
      </c>
      <c r="D72" s="169" t="s">
        <v>30</v>
      </c>
      <c r="E72" s="169"/>
      <c r="F72" s="169"/>
      <c r="G72" s="169"/>
      <c r="H72" s="169"/>
    </row>
    <row r="73" spans="3:8" ht="12.75">
      <c r="C73" s="46" t="s">
        <v>650</v>
      </c>
      <c r="D73" s="169" t="s">
        <v>30</v>
      </c>
      <c r="E73" s="169"/>
      <c r="F73" s="169"/>
      <c r="G73" s="169"/>
      <c r="H73" s="169"/>
    </row>
    <row r="74" spans="3:8" ht="12.75">
      <c r="C74" s="46" t="s">
        <v>651</v>
      </c>
      <c r="D74" s="169" t="s">
        <v>30</v>
      </c>
      <c r="E74" s="169"/>
      <c r="F74" s="169"/>
      <c r="G74" s="169"/>
      <c r="H74" s="169"/>
    </row>
    <row r="75" spans="3:8" ht="12.75">
      <c r="C75" s="46" t="s">
        <v>652</v>
      </c>
      <c r="D75" s="169" t="s">
        <v>30</v>
      </c>
      <c r="E75" s="169"/>
      <c r="F75" s="169"/>
      <c r="G75" s="169"/>
      <c r="H75" s="169"/>
    </row>
    <row r="76" spans="3:8" ht="12.75">
      <c r="C76" s="46" t="s">
        <v>653</v>
      </c>
      <c r="D76" s="169" t="s">
        <v>30</v>
      </c>
      <c r="E76" s="169"/>
      <c r="F76" s="169"/>
      <c r="G76" s="169"/>
      <c r="H76" s="169"/>
    </row>
    <row r="77" spans="1:28" ht="28.5">
      <c r="A77" s="74">
        <v>4</v>
      </c>
      <c r="B77" s="74">
        <v>4</v>
      </c>
      <c r="C77" s="74" t="str">
        <f>Source!G65</f>
        <v>Монтаж подконструкции (Применительно)</v>
      </c>
      <c r="D77" s="74" t="str">
        <f>Source!F65</f>
        <v>09-03-002-12</v>
      </c>
      <c r="E77" s="58" t="str">
        <f>Source!H65</f>
        <v>т</v>
      </c>
      <c r="F77" s="14">
        <f>Source!I65</f>
        <v>0.24</v>
      </c>
      <c r="G77" s="44">
        <f>Source!AB65</f>
        <v>874.1</v>
      </c>
      <c r="H77" s="44">
        <f>Source!O65</f>
        <v>3670.6</v>
      </c>
      <c r="T77">
        <f>Source!O65</f>
        <v>3670.6</v>
      </c>
      <c r="U77">
        <f>Source!P65</f>
        <v>171.51</v>
      </c>
      <c r="V77">
        <f>Source!S65</f>
        <v>1641.5</v>
      </c>
      <c r="W77">
        <f>Source!Q65</f>
        <v>1857.59</v>
      </c>
      <c r="X77">
        <f>Source!R65</f>
        <v>479.89</v>
      </c>
      <c r="Y77">
        <f>Source!U65</f>
        <v>4.305599999999999</v>
      </c>
      <c r="Z77">
        <f>Source!V65</f>
        <v>0.8639999999999999</v>
      </c>
      <c r="AA77">
        <f>Source!X65</f>
        <v>1972.89</v>
      </c>
      <c r="AB77">
        <f>Source!Y65</f>
        <v>1117.97</v>
      </c>
    </row>
    <row r="78" spans="3:8" ht="63.75">
      <c r="C78" s="46" t="s">
        <v>643</v>
      </c>
      <c r="D78" s="46" t="str">
        <f>Source!BO65</f>
        <v>Письмо Минстроя России от 28.08.2023 № 52355-ИФ/09</v>
      </c>
      <c r="F78" s="14"/>
      <c r="G78" s="14"/>
      <c r="H78" s="14"/>
    </row>
    <row r="79" spans="3:4" ht="12.75">
      <c r="C79" s="46" t="s">
        <v>644</v>
      </c>
      <c r="D79" s="46">
        <f>Source!BA65</f>
        <v>37.34</v>
      </c>
    </row>
    <row r="80" spans="3:4" ht="12.75">
      <c r="C80" s="46" t="s">
        <v>645</v>
      </c>
      <c r="D80" s="46">
        <f>Source!BB65</f>
        <v>13.24</v>
      </c>
    </row>
    <row r="81" spans="3:4" ht="12.75">
      <c r="C81" s="46" t="s">
        <v>646</v>
      </c>
      <c r="D81" s="46">
        <f>Source!BC65</f>
        <v>6.72</v>
      </c>
    </row>
    <row r="82" spans="3:4" ht="12.75">
      <c r="C82" s="46" t="s">
        <v>647</v>
      </c>
      <c r="D82" s="46">
        <f>Source!BS65</f>
        <v>37.34</v>
      </c>
    </row>
    <row r="83" spans="3:8" ht="12.75">
      <c r="C83" s="46" t="s">
        <v>649</v>
      </c>
      <c r="D83" s="169" t="s">
        <v>117</v>
      </c>
      <c r="E83" s="169"/>
      <c r="F83" s="169"/>
      <c r="G83" s="169"/>
      <c r="H83" s="169"/>
    </row>
    <row r="84" spans="3:8" ht="12.75">
      <c r="C84" s="46" t="s">
        <v>650</v>
      </c>
      <c r="D84" s="169" t="s">
        <v>117</v>
      </c>
      <c r="E84" s="169"/>
      <c r="F84" s="169"/>
      <c r="G84" s="169"/>
      <c r="H84" s="169"/>
    </row>
    <row r="85" spans="3:8" ht="12.75">
      <c r="C85" s="46" t="s">
        <v>651</v>
      </c>
      <c r="D85" s="169" t="s">
        <v>118</v>
      </c>
      <c r="E85" s="169"/>
      <c r="F85" s="169"/>
      <c r="G85" s="169"/>
      <c r="H85" s="169"/>
    </row>
    <row r="86" spans="3:8" ht="12.75">
      <c r="C86" s="46" t="s">
        <v>652</v>
      </c>
      <c r="D86" s="169" t="s">
        <v>118</v>
      </c>
      <c r="E86" s="169"/>
      <c r="F86" s="169"/>
      <c r="G86" s="169"/>
      <c r="H86" s="169"/>
    </row>
    <row r="87" spans="3:8" ht="12.75">
      <c r="C87" s="46" t="s">
        <v>653</v>
      </c>
      <c r="D87" s="169" t="s">
        <v>117</v>
      </c>
      <c r="E87" s="169"/>
      <c r="F87" s="169"/>
      <c r="G87" s="169"/>
      <c r="H87" s="169"/>
    </row>
    <row r="88" spans="3:8" ht="12.75">
      <c r="C88" s="46" t="s">
        <v>654</v>
      </c>
      <c r="D88" s="169" t="s">
        <v>119</v>
      </c>
      <c r="E88" s="169"/>
      <c r="F88" s="169"/>
      <c r="G88" s="169"/>
      <c r="H88" s="169"/>
    </row>
    <row r="89" spans="1:28" ht="57">
      <c r="A89" s="74" t="s">
        <v>121</v>
      </c>
      <c r="B89" s="74" t="s">
        <v>121</v>
      </c>
      <c r="C89" s="74" t="str">
        <f>Source!G67</f>
        <v>Элементы конструктивные вспомогательного назначения с преобладанием профильного проката с отверстиями</v>
      </c>
      <c r="D89" s="74" t="str">
        <f>Source!F67</f>
        <v>07.2.07.12-0005</v>
      </c>
      <c r="E89" s="58" t="str">
        <f>Source!H67</f>
        <v>т</v>
      </c>
      <c r="F89" s="14">
        <f>Source!I67</f>
        <v>0.24</v>
      </c>
      <c r="G89" s="44">
        <f>Source!AB67</f>
        <v>9323.19</v>
      </c>
      <c r="H89" s="44">
        <f>Source!O67</f>
        <v>15036.44</v>
      </c>
      <c r="T89">
        <f>Source!O67</f>
        <v>15036.44</v>
      </c>
      <c r="U89">
        <f>Source!P67</f>
        <v>15036.44</v>
      </c>
      <c r="V89">
        <f>Source!S67</f>
        <v>0</v>
      </c>
      <c r="W89">
        <f>Source!Q67</f>
        <v>0</v>
      </c>
      <c r="X89">
        <f>Source!R67</f>
        <v>0</v>
      </c>
      <c r="Y89">
        <f>Source!U67</f>
        <v>0</v>
      </c>
      <c r="Z89">
        <f>Source!V67</f>
        <v>0</v>
      </c>
      <c r="AA89">
        <f>Source!X67</f>
        <v>0</v>
      </c>
      <c r="AB89">
        <f>Source!Y67</f>
        <v>0</v>
      </c>
    </row>
    <row r="90" spans="3:8" ht="63.75">
      <c r="C90" s="46" t="s">
        <v>643</v>
      </c>
      <c r="D90" s="46" t="str">
        <f>Source!BO67</f>
        <v>Письмо Минстроя России от 28.08.2023 № 52355-ИФ/09</v>
      </c>
      <c r="F90" s="14"/>
      <c r="G90" s="14"/>
      <c r="H90" s="14"/>
    </row>
    <row r="91" spans="3:4" ht="12.75">
      <c r="C91" s="46" t="s">
        <v>646</v>
      </c>
      <c r="D91" s="46">
        <f>Source!BC67</f>
        <v>6.72</v>
      </c>
    </row>
    <row r="92" spans="1:28" ht="57">
      <c r="A92" s="74">
        <v>5</v>
      </c>
      <c r="B92" s="74">
        <v>5</v>
      </c>
      <c r="C92" s="74" t="str">
        <f>Source!G69</f>
        <v>Сверление в железобетонных конструкциях вертикальных отверстий глубиной 200 мм диаметром: 20 мм (Применительно)</v>
      </c>
      <c r="D92" s="74" t="str">
        <f>Source!F69</f>
        <v>46-03-001-01</v>
      </c>
      <c r="E92" s="58" t="str">
        <f>Source!H69</f>
        <v>100 отверстий</v>
      </c>
      <c r="F92" s="14">
        <f>Source!I69</f>
        <v>0.24</v>
      </c>
      <c r="G92" s="44">
        <f>Source!AB69</f>
        <v>735.48</v>
      </c>
      <c r="H92" s="44">
        <f>Source!O69</f>
        <v>3298</v>
      </c>
      <c r="T92">
        <f>Source!O69</f>
        <v>3298</v>
      </c>
      <c r="U92">
        <f>Source!P69</f>
        <v>1.74</v>
      </c>
      <c r="V92">
        <f>Source!S69</f>
        <v>1491.48</v>
      </c>
      <c r="W92">
        <f>Source!Q69</f>
        <v>1804.78</v>
      </c>
      <c r="X92">
        <f>Source!R69</f>
        <v>1891.97</v>
      </c>
      <c r="Y92">
        <f>Source!U69</f>
        <v>4.152</v>
      </c>
      <c r="Z92">
        <f>Source!V69</f>
        <v>4.367999999999999</v>
      </c>
      <c r="AA92">
        <f>Source!X69</f>
        <v>3484.95</v>
      </c>
      <c r="AB92">
        <f>Source!Y69</f>
        <v>1996.24</v>
      </c>
    </row>
    <row r="93" spans="3:8" ht="14.25">
      <c r="C93" s="46" t="str">
        <f>"Объем: "&amp;Source!I69&amp;"=24/"&amp;"100"</f>
        <v>Объем: 0,24=24/100</v>
      </c>
      <c r="F93" s="14"/>
      <c r="G93" s="14"/>
      <c r="H93" s="14"/>
    </row>
    <row r="94" spans="3:4" ht="63.75">
      <c r="C94" s="46" t="s">
        <v>643</v>
      </c>
      <c r="D94" s="46" t="str">
        <f>Source!BO69</f>
        <v>Письмо Минстроя России от 28.08.2023 № 52355-ИФ/09</v>
      </c>
    </row>
    <row r="95" spans="3:4" ht="12.75">
      <c r="C95" s="46" t="s">
        <v>644</v>
      </c>
      <c r="D95" s="46">
        <f>Source!BA69</f>
        <v>37.34</v>
      </c>
    </row>
    <row r="96" spans="3:4" ht="12.75">
      <c r="C96" s="46" t="s">
        <v>645</v>
      </c>
      <c r="D96" s="46">
        <f>Source!BB69</f>
        <v>13.24</v>
      </c>
    </row>
    <row r="97" spans="3:4" ht="12.75">
      <c r="C97" s="46" t="s">
        <v>646</v>
      </c>
      <c r="D97" s="46">
        <f>Source!BC69</f>
        <v>6.72</v>
      </c>
    </row>
    <row r="98" spans="3:4" ht="12.75">
      <c r="C98" s="46" t="s">
        <v>647</v>
      </c>
      <c r="D98" s="46">
        <f>Source!BS69</f>
        <v>37.34</v>
      </c>
    </row>
    <row r="99" spans="1:28" ht="28.5">
      <c r="A99" s="74" t="s">
        <v>135</v>
      </c>
      <c r="B99" s="74" t="s">
        <v>135</v>
      </c>
      <c r="C99" s="74" t="str">
        <f>Source!G71</f>
        <v>Бур с ограничителем TE-C-HDA-B 22х155 для анкеров HDA</v>
      </c>
      <c r="D99" s="74" t="str">
        <f>Source!F71</f>
        <v>01.7.17.09-0001</v>
      </c>
      <c r="E99" s="58" t="str">
        <f>Source!H71</f>
        <v>ШТ</v>
      </c>
      <c r="F99" s="14">
        <f>Source!I71</f>
        <v>2</v>
      </c>
      <c r="G99" s="44">
        <f>Source!AB71</f>
        <v>839.32</v>
      </c>
      <c r="H99" s="44">
        <f>Source!O71</f>
        <v>11280.46</v>
      </c>
      <c r="T99">
        <f>Source!O71</f>
        <v>11280.46</v>
      </c>
      <c r="U99">
        <f>Source!P71</f>
        <v>11280.46</v>
      </c>
      <c r="V99">
        <f>Source!S71</f>
        <v>0</v>
      </c>
      <c r="W99">
        <f>Source!Q71</f>
        <v>0</v>
      </c>
      <c r="X99">
        <f>Source!R71</f>
        <v>0</v>
      </c>
      <c r="Y99">
        <f>Source!U71</f>
        <v>0</v>
      </c>
      <c r="Z99">
        <f>Source!V71</f>
        <v>0</v>
      </c>
      <c r="AA99">
        <f>Source!X71</f>
        <v>0</v>
      </c>
      <c r="AB99">
        <f>Source!Y71</f>
        <v>0</v>
      </c>
    </row>
    <row r="100" spans="3:8" ht="63.75">
      <c r="C100" s="46" t="s">
        <v>643</v>
      </c>
      <c r="D100" s="46" t="str">
        <f>Source!BO71</f>
        <v>Письмо Минстроя России от 28.08.2023 № 52355-ИФ/09</v>
      </c>
      <c r="F100" s="14"/>
      <c r="G100" s="14"/>
      <c r="H100" s="14"/>
    </row>
    <row r="101" spans="3:4" ht="12.75">
      <c r="C101" s="46" t="s">
        <v>646</v>
      </c>
      <c r="D101" s="46">
        <f>Source!BC71</f>
        <v>6.72</v>
      </c>
    </row>
    <row r="102" spans="1:28" ht="28.5">
      <c r="A102" s="74">
        <v>6</v>
      </c>
      <c r="B102" s="74">
        <v>6</v>
      </c>
      <c r="C102" s="74" t="str">
        <f>Source!G73</f>
        <v>Установка анкерных болтов: в готовые гнезда с заделкой длиной до 1 м</v>
      </c>
      <c r="D102" s="74" t="str">
        <f>Source!F73</f>
        <v>06-03-004-01</v>
      </c>
      <c r="E102" s="58" t="str">
        <f>Source!H73</f>
        <v>т</v>
      </c>
      <c r="F102" s="14">
        <f>Source!I73</f>
        <v>0.012</v>
      </c>
      <c r="G102" s="44">
        <f>Source!AB73</f>
        <v>13112.07</v>
      </c>
      <c r="H102" s="44">
        <f>Source!O73</f>
        <v>2144.34</v>
      </c>
      <c r="T102">
        <f>Source!O73</f>
        <v>2144.34</v>
      </c>
      <c r="U102">
        <f>Source!P73</f>
        <v>814.74</v>
      </c>
      <c r="V102">
        <f>Source!S73</f>
        <v>1319.43</v>
      </c>
      <c r="W102">
        <f>Source!Q73</f>
        <v>10.17</v>
      </c>
      <c r="X102">
        <f>Source!R73</f>
        <v>4.1</v>
      </c>
      <c r="Y102">
        <f>Source!U73</f>
        <v>3.9881999999999995</v>
      </c>
      <c r="Z102">
        <f>Source!V73</f>
        <v>0.00885</v>
      </c>
      <c r="AA102">
        <f>Source!X73</f>
        <v>1350</v>
      </c>
      <c r="AB102">
        <f>Source!Y73</f>
        <v>652.5</v>
      </c>
    </row>
    <row r="103" spans="3:8" ht="63.75">
      <c r="C103" s="46" t="s">
        <v>643</v>
      </c>
      <c r="D103" s="46" t="str">
        <f>Source!BO73</f>
        <v>Письмо Минстроя России от 28.08.2023 № 52355-ИФ/09</v>
      </c>
      <c r="F103" s="14"/>
      <c r="G103" s="14"/>
      <c r="H103" s="14"/>
    </row>
    <row r="104" spans="3:4" ht="12.75">
      <c r="C104" s="46" t="s">
        <v>644</v>
      </c>
      <c r="D104" s="46">
        <f>Source!BA73</f>
        <v>37.34</v>
      </c>
    </row>
    <row r="105" spans="3:4" ht="12.75">
      <c r="C105" s="46" t="s">
        <v>645</v>
      </c>
      <c r="D105" s="46">
        <f>Source!BB73</f>
        <v>13.24</v>
      </c>
    </row>
    <row r="106" spans="3:4" ht="12.75">
      <c r="C106" s="46" t="s">
        <v>646</v>
      </c>
      <c r="D106" s="46">
        <f>Source!BC73</f>
        <v>6.72</v>
      </c>
    </row>
    <row r="107" spans="3:4" ht="12.75">
      <c r="C107" s="46" t="s">
        <v>647</v>
      </c>
      <c r="D107" s="46">
        <f>Source!BS73</f>
        <v>37.34</v>
      </c>
    </row>
    <row r="108" spans="3:8" ht="12.75">
      <c r="C108" s="46" t="s">
        <v>649</v>
      </c>
      <c r="D108" s="169" t="s">
        <v>117</v>
      </c>
      <c r="E108" s="169"/>
      <c r="F108" s="169"/>
      <c r="G108" s="169"/>
      <c r="H108" s="169"/>
    </row>
    <row r="109" spans="3:8" ht="12.75">
      <c r="C109" s="46" t="s">
        <v>650</v>
      </c>
      <c r="D109" s="169" t="s">
        <v>117</v>
      </c>
      <c r="E109" s="169"/>
      <c r="F109" s="169"/>
      <c r="G109" s="169"/>
      <c r="H109" s="169"/>
    </row>
    <row r="110" spans="3:8" ht="12.75">
      <c r="C110" s="46" t="s">
        <v>651</v>
      </c>
      <c r="D110" s="169" t="s">
        <v>118</v>
      </c>
      <c r="E110" s="169"/>
      <c r="F110" s="169"/>
      <c r="G110" s="169"/>
      <c r="H110" s="169"/>
    </row>
    <row r="111" spans="3:8" ht="12.75">
      <c r="C111" s="46" t="s">
        <v>652</v>
      </c>
      <c r="D111" s="169" t="s">
        <v>118</v>
      </c>
      <c r="E111" s="169"/>
      <c r="F111" s="169"/>
      <c r="G111" s="169"/>
      <c r="H111" s="169"/>
    </row>
    <row r="112" spans="3:8" ht="12.75">
      <c r="C112" s="46" t="s">
        <v>653</v>
      </c>
      <c r="D112" s="169" t="s">
        <v>117</v>
      </c>
      <c r="E112" s="169"/>
      <c r="F112" s="169"/>
      <c r="G112" s="169"/>
      <c r="H112" s="169"/>
    </row>
    <row r="113" spans="3:8" ht="12.75">
      <c r="C113" s="46" t="s">
        <v>654</v>
      </c>
      <c r="D113" s="169" t="s">
        <v>119</v>
      </c>
      <c r="E113" s="169"/>
      <c r="F113" s="169"/>
      <c r="G113" s="169"/>
      <c r="H113" s="169"/>
    </row>
    <row r="114" spans="1:28" ht="42.75">
      <c r="A114" s="74">
        <v>7</v>
      </c>
      <c r="B114" s="74">
        <v>7</v>
      </c>
      <c r="C114" s="74" t="str">
        <f>Source!G75</f>
        <v>Монтаж перегородок: из алюминиевых сплавов сборно-разборных с остеклением</v>
      </c>
      <c r="D114" s="74" t="str">
        <f>Source!F75</f>
        <v>09-03-046-01</v>
      </c>
      <c r="E114" s="58" t="str">
        <f>Source!H75</f>
        <v>100 м2</v>
      </c>
      <c r="F114" s="14">
        <f>Source!I75</f>
        <v>0.42</v>
      </c>
      <c r="G114" s="44">
        <f>Source!AB75</f>
        <v>4442.43</v>
      </c>
      <c r="H114" s="44">
        <f>Source!O75</f>
        <v>58844.21</v>
      </c>
      <c r="T114">
        <f>Source!O75</f>
        <v>58844.21</v>
      </c>
      <c r="U114">
        <f>Source!P75</f>
        <v>778.64</v>
      </c>
      <c r="V114">
        <f>Source!S75</f>
        <v>54067.39</v>
      </c>
      <c r="W114">
        <f>Source!Q75</f>
        <v>3998.18</v>
      </c>
      <c r="X114">
        <f>Source!R75</f>
        <v>645.97</v>
      </c>
      <c r="Y114">
        <f>Source!U75</f>
        <v>143.934</v>
      </c>
      <c r="Z114">
        <f>Source!V75</f>
        <v>1.302</v>
      </c>
      <c r="AA114">
        <f>Source!X75</f>
        <v>50883.42</v>
      </c>
      <c r="AB114">
        <f>Source!Y75</f>
        <v>28833.94</v>
      </c>
    </row>
    <row r="115" spans="3:8" ht="14.25">
      <c r="C115" s="46" t="str">
        <f>"Объем: "&amp;Source!I75&amp;"=42/"&amp;"100"</f>
        <v>Объем: 0,42=42/100</v>
      </c>
      <c r="F115" s="14"/>
      <c r="G115" s="14"/>
      <c r="H115" s="14"/>
    </row>
    <row r="116" spans="3:4" ht="63.75">
      <c r="C116" s="46" t="s">
        <v>643</v>
      </c>
      <c r="D116" s="46" t="str">
        <f>Source!BO75</f>
        <v>Письмо Минстроя России от 28.08.2023 № 52355-ИФ/09</v>
      </c>
    </row>
    <row r="117" spans="3:4" ht="12.75">
      <c r="C117" s="46" t="s">
        <v>644</v>
      </c>
      <c r="D117" s="46">
        <f>Source!BA75</f>
        <v>37.34</v>
      </c>
    </row>
    <row r="118" spans="3:4" ht="12.75">
      <c r="C118" s="46" t="s">
        <v>645</v>
      </c>
      <c r="D118" s="46">
        <f>Source!BB75</f>
        <v>13.24</v>
      </c>
    </row>
    <row r="119" spans="3:4" ht="12.75">
      <c r="C119" s="46" t="s">
        <v>646</v>
      </c>
      <c r="D119" s="46">
        <f>Source!BC75</f>
        <v>6.72</v>
      </c>
    </row>
    <row r="120" spans="3:4" ht="12.75">
      <c r="C120" s="46" t="s">
        <v>647</v>
      </c>
      <c r="D120" s="46">
        <f>Source!BS75</f>
        <v>37.34</v>
      </c>
    </row>
    <row r="121" spans="3:8" ht="12.75">
      <c r="C121" s="46" t="s">
        <v>649</v>
      </c>
      <c r="D121" s="169" t="s">
        <v>117</v>
      </c>
      <c r="E121" s="169"/>
      <c r="F121" s="169"/>
      <c r="G121" s="169"/>
      <c r="H121" s="169"/>
    </row>
    <row r="122" spans="3:8" ht="12.75">
      <c r="C122" s="46" t="s">
        <v>650</v>
      </c>
      <c r="D122" s="169" t="s">
        <v>117</v>
      </c>
      <c r="E122" s="169"/>
      <c r="F122" s="169"/>
      <c r="G122" s="169"/>
      <c r="H122" s="169"/>
    </row>
    <row r="123" spans="3:8" ht="12.75">
      <c r="C123" s="46" t="s">
        <v>651</v>
      </c>
      <c r="D123" s="169" t="s">
        <v>118</v>
      </c>
      <c r="E123" s="169"/>
      <c r="F123" s="169"/>
      <c r="G123" s="169"/>
      <c r="H123" s="169"/>
    </row>
    <row r="124" spans="3:8" ht="12.75">
      <c r="C124" s="46" t="s">
        <v>652</v>
      </c>
      <c r="D124" s="169" t="s">
        <v>118</v>
      </c>
      <c r="E124" s="169"/>
      <c r="F124" s="169"/>
      <c r="G124" s="169"/>
      <c r="H124" s="169"/>
    </row>
    <row r="125" spans="3:8" ht="12.75">
      <c r="C125" s="46" t="s">
        <v>653</v>
      </c>
      <c r="D125" s="169" t="s">
        <v>117</v>
      </c>
      <c r="E125" s="169"/>
      <c r="F125" s="169"/>
      <c r="G125" s="169"/>
      <c r="H125" s="169"/>
    </row>
    <row r="126" spans="3:8" ht="12.75">
      <c r="C126" s="46" t="s">
        <v>654</v>
      </c>
      <c r="D126" s="169" t="s">
        <v>119</v>
      </c>
      <c r="E126" s="169"/>
      <c r="F126" s="169"/>
      <c r="G126" s="169"/>
      <c r="H126" s="169"/>
    </row>
    <row r="127" spans="1:28" ht="99.75">
      <c r="A127" s="74" t="s">
        <v>143</v>
      </c>
      <c r="B127" s="74" t="s">
        <v>143</v>
      </c>
      <c r="C127" s="74" t="str">
        <f>Source!G77</f>
        <v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v>
      </c>
      <c r="D127" s="74" t="str">
        <f>Source!F77</f>
        <v>ТЦ_102_40_4007021423_08092023_01</v>
      </c>
      <c r="E127" s="58" t="str">
        <f>Source!H77</f>
        <v>м2</v>
      </c>
      <c r="F127" s="14">
        <f>Source!I77</f>
        <v>42</v>
      </c>
      <c r="G127" s="44">
        <f>Source!AB77</f>
        <v>27560</v>
      </c>
      <c r="H127" s="44">
        <f>Source!O77</f>
        <v>1157520</v>
      </c>
      <c r="T127">
        <f>Source!O77</f>
        <v>1157520</v>
      </c>
      <c r="U127">
        <f>Source!P77</f>
        <v>1157520</v>
      </c>
      <c r="V127">
        <f>Source!S77</f>
        <v>0</v>
      </c>
      <c r="W127">
        <f>Source!Q77</f>
        <v>0</v>
      </c>
      <c r="X127">
        <f>Source!R77</f>
        <v>0</v>
      </c>
      <c r="Y127">
        <f>Source!U77</f>
        <v>0</v>
      </c>
      <c r="Z127">
        <f>Source!V77</f>
        <v>0</v>
      </c>
      <c r="AA127">
        <f>Source!X77</f>
        <v>0</v>
      </c>
      <c r="AB127">
        <f>Source!Y77</f>
        <v>0</v>
      </c>
    </row>
    <row r="128" spans="1:28" ht="57">
      <c r="A128" s="74" t="s">
        <v>148</v>
      </c>
      <c r="B128" s="74" t="s">
        <v>148</v>
      </c>
      <c r="C128" s="74" t="str">
        <f>Source!G79</f>
        <v>Монтажные комплектующие</v>
      </c>
      <c r="D128" s="74" t="str">
        <f>Source!F79</f>
        <v>ТЦ_102_40_4007021423_08092023_01</v>
      </c>
      <c r="E128" s="58" t="str">
        <f>Source!H79</f>
        <v>КОМПЛ</v>
      </c>
      <c r="F128" s="14">
        <f>Source!I79</f>
        <v>1</v>
      </c>
      <c r="G128" s="44">
        <f>Source!AB79</f>
        <v>73547</v>
      </c>
      <c r="H128" s="44">
        <f>Source!O79</f>
        <v>73547</v>
      </c>
      <c r="T128">
        <f>Source!O79</f>
        <v>73547</v>
      </c>
      <c r="U128">
        <f>Source!P79</f>
        <v>73547</v>
      </c>
      <c r="V128">
        <f>Source!S79</f>
        <v>0</v>
      </c>
      <c r="W128">
        <f>Source!Q79</f>
        <v>0</v>
      </c>
      <c r="X128">
        <f>Source!R79</f>
        <v>0</v>
      </c>
      <c r="Y128">
        <f>Source!U79</f>
        <v>0</v>
      </c>
      <c r="Z128">
        <f>Source!V79</f>
        <v>0</v>
      </c>
      <c r="AA128">
        <f>Source!X79</f>
        <v>0</v>
      </c>
      <c r="AB128">
        <f>Source!Y79</f>
        <v>0</v>
      </c>
    </row>
    <row r="129" spans="1:28" ht="28.5">
      <c r="A129" s="74">
        <v>8</v>
      </c>
      <c r="B129" s="74">
        <v>8</v>
      </c>
      <c r="C129" s="74" t="str">
        <f>Source!G81</f>
        <v>Установка алюминиевых: нащельников</v>
      </c>
      <c r="D129" s="74" t="str">
        <f>Source!F81</f>
        <v>09-05-009-03</v>
      </c>
      <c r="E129" s="58" t="str">
        <f>Source!H81</f>
        <v>100 м</v>
      </c>
      <c r="F129" s="14">
        <f>Source!I81</f>
        <v>0.72</v>
      </c>
      <c r="G129" s="44">
        <f>Source!AB81</f>
        <v>482.98</v>
      </c>
      <c r="H129" s="44">
        <f>Source!O81</f>
        <v>9948.37</v>
      </c>
      <c r="T129">
        <f>Source!O81</f>
        <v>9948.37</v>
      </c>
      <c r="U129">
        <f>Source!P81</f>
        <v>666.39</v>
      </c>
      <c r="V129">
        <f>Source!S81</f>
        <v>9281.98</v>
      </c>
      <c r="W129">
        <f>Source!Q81</f>
        <v>0</v>
      </c>
      <c r="X129">
        <f>Source!R81</f>
        <v>0</v>
      </c>
      <c r="Y129">
        <f>Source!U81</f>
        <v>27.406799999999997</v>
      </c>
      <c r="Z129">
        <f>Source!V81</f>
        <v>0</v>
      </c>
      <c r="AA129">
        <f>Source!X81</f>
        <v>8632.24</v>
      </c>
      <c r="AB129">
        <f>Source!Y81</f>
        <v>4891.6</v>
      </c>
    </row>
    <row r="130" spans="3:8" ht="14.25">
      <c r="C130" s="46" t="str">
        <f>"Объем: "&amp;Source!I81&amp;"=72/"&amp;"100"</f>
        <v>Объем: 0,72=72/100</v>
      </c>
      <c r="F130" s="14"/>
      <c r="G130" s="14"/>
      <c r="H130" s="14"/>
    </row>
    <row r="131" spans="3:4" ht="63.75">
      <c r="C131" s="46" t="s">
        <v>643</v>
      </c>
      <c r="D131" s="46" t="str">
        <f>Source!BO81</f>
        <v>Письмо Минстроя России от 28.08.2023 № 52355-ИФ/09</v>
      </c>
    </row>
    <row r="132" spans="3:4" ht="12.75">
      <c r="C132" s="46" t="s">
        <v>644</v>
      </c>
      <c r="D132" s="46">
        <f>Source!BA81</f>
        <v>37.34</v>
      </c>
    </row>
    <row r="133" spans="3:4" ht="12.75">
      <c r="C133" s="46" t="s">
        <v>645</v>
      </c>
      <c r="D133" s="46">
        <f>Source!BB81</f>
        <v>13.24</v>
      </c>
    </row>
    <row r="134" spans="3:4" ht="12.75">
      <c r="C134" s="46" t="s">
        <v>646</v>
      </c>
      <c r="D134" s="46">
        <f>Source!BC81</f>
        <v>6.72</v>
      </c>
    </row>
    <row r="135" spans="3:4" ht="12.75">
      <c r="C135" s="46" t="s">
        <v>647</v>
      </c>
      <c r="D135" s="46">
        <f>Source!BS81</f>
        <v>37.34</v>
      </c>
    </row>
    <row r="136" spans="3:8" ht="12.75">
      <c r="C136" s="46" t="s">
        <v>649</v>
      </c>
      <c r="D136" s="169" t="s">
        <v>117</v>
      </c>
      <c r="E136" s="169"/>
      <c r="F136" s="169"/>
      <c r="G136" s="169"/>
      <c r="H136" s="169"/>
    </row>
    <row r="137" spans="3:8" ht="12.75">
      <c r="C137" s="46" t="s">
        <v>650</v>
      </c>
      <c r="D137" s="169" t="s">
        <v>117</v>
      </c>
      <c r="E137" s="169"/>
      <c r="F137" s="169"/>
      <c r="G137" s="169"/>
      <c r="H137" s="169"/>
    </row>
    <row r="138" spans="3:8" ht="12.75">
      <c r="C138" s="46" t="s">
        <v>651</v>
      </c>
      <c r="D138" s="169" t="s">
        <v>118</v>
      </c>
      <c r="E138" s="169"/>
      <c r="F138" s="169"/>
      <c r="G138" s="169"/>
      <c r="H138" s="169"/>
    </row>
    <row r="139" spans="3:8" ht="12.75">
      <c r="C139" s="46" t="s">
        <v>652</v>
      </c>
      <c r="D139" s="169" t="s">
        <v>118</v>
      </c>
      <c r="E139" s="169"/>
      <c r="F139" s="169"/>
      <c r="G139" s="169"/>
      <c r="H139" s="169"/>
    </row>
    <row r="140" spans="3:8" ht="12.75">
      <c r="C140" s="46" t="s">
        <v>653</v>
      </c>
      <c r="D140" s="169" t="s">
        <v>117</v>
      </c>
      <c r="E140" s="169"/>
      <c r="F140" s="169"/>
      <c r="G140" s="169"/>
      <c r="H140" s="169"/>
    </row>
    <row r="141" spans="3:8" ht="12.75">
      <c r="C141" s="46" t="s">
        <v>654</v>
      </c>
      <c r="D141" s="169" t="s">
        <v>119</v>
      </c>
      <c r="E141" s="169"/>
      <c r="F141" s="169"/>
      <c r="G141" s="169"/>
      <c r="H141" s="169"/>
    </row>
    <row r="142" spans="1:28" ht="57">
      <c r="A142" s="74" t="s">
        <v>156</v>
      </c>
      <c r="B142" s="74" t="s">
        <v>156</v>
      </c>
      <c r="C142" s="74" t="str">
        <f>Source!G83</f>
        <v>Нащельники и детали примыканий</v>
      </c>
      <c r="D142" s="74" t="str">
        <f>Source!F83</f>
        <v>ТЦ_102_40_4007021423_08092023_01</v>
      </c>
      <c r="E142" s="58" t="str">
        <f>Source!H83</f>
        <v>м</v>
      </c>
      <c r="F142" s="14">
        <f>Source!I83</f>
        <v>72</v>
      </c>
      <c r="G142" s="44">
        <f>Source!AB83</f>
        <v>2917</v>
      </c>
      <c r="H142" s="44">
        <f>Source!O83</f>
        <v>210024</v>
      </c>
      <c r="T142">
        <f>Source!O83</f>
        <v>210024</v>
      </c>
      <c r="U142">
        <f>Source!P83</f>
        <v>210024</v>
      </c>
      <c r="V142">
        <f>Source!S83</f>
        <v>0</v>
      </c>
      <c r="W142">
        <f>Source!Q83</f>
        <v>0</v>
      </c>
      <c r="X142">
        <f>Source!R83</f>
        <v>0</v>
      </c>
      <c r="Y142">
        <f>Source!U83</f>
        <v>0</v>
      </c>
      <c r="Z142">
        <f>Source!V83</f>
        <v>0</v>
      </c>
      <c r="AA142">
        <f>Source!X83</f>
        <v>0</v>
      </c>
      <c r="AB142">
        <f>Source!Y83</f>
        <v>0</v>
      </c>
    </row>
    <row r="143" spans="1:28" ht="42.75">
      <c r="A143" s="74">
        <v>9</v>
      </c>
      <c r="B143" s="74">
        <v>9</v>
      </c>
      <c r="C143" s="74" t="str">
        <f>Source!G85</f>
        <v>Установка автоматических раздвижных дверей: одностворчатых, весом створки до 200 кг</v>
      </c>
      <c r="D143" s="74" t="str">
        <f>Source!F85</f>
        <v>м10-10-008-01</v>
      </c>
      <c r="E143" s="58" t="str">
        <f>Source!H85</f>
        <v>КОМПЛ</v>
      </c>
      <c r="F143" s="14">
        <f>Source!I85</f>
        <v>2</v>
      </c>
      <c r="G143" s="44">
        <f>Source!AB85</f>
        <v>109.6</v>
      </c>
      <c r="H143" s="44">
        <f>Source!O85</f>
        <v>7877.97</v>
      </c>
      <c r="T143">
        <f>Source!O85</f>
        <v>7877.97</v>
      </c>
      <c r="U143">
        <f>Source!P85</f>
        <v>31.72</v>
      </c>
      <c r="V143">
        <f>Source!S85</f>
        <v>7757.01</v>
      </c>
      <c r="W143">
        <f>Source!Q85</f>
        <v>89.24</v>
      </c>
      <c r="X143">
        <f>Source!R85</f>
        <v>26.14</v>
      </c>
      <c r="Y143">
        <f>Source!U85</f>
        <v>23.16</v>
      </c>
      <c r="Z143">
        <f>Source!V85</f>
        <v>0.06</v>
      </c>
      <c r="AA143">
        <f>Source!X85</f>
        <v>7004.84</v>
      </c>
      <c r="AB143">
        <f>Source!Y85</f>
        <v>3580.25</v>
      </c>
    </row>
    <row r="144" spans="3:8" ht="63.75">
      <c r="C144" s="46" t="s">
        <v>643</v>
      </c>
      <c r="D144" s="46" t="str">
        <f>Source!BO85</f>
        <v>Письмо Минстроя России от 28.08.2023 № 52355-ИФ/09</v>
      </c>
      <c r="F144" s="14"/>
      <c r="G144" s="14"/>
      <c r="H144" s="14"/>
    </row>
    <row r="145" spans="3:4" ht="12.75">
      <c r="C145" s="46" t="s">
        <v>644</v>
      </c>
      <c r="D145" s="46">
        <f>Source!BA85</f>
        <v>37.34</v>
      </c>
    </row>
    <row r="146" spans="3:4" ht="12.75">
      <c r="C146" s="46" t="s">
        <v>645</v>
      </c>
      <c r="D146" s="46">
        <f>Source!BB85</f>
        <v>13.24</v>
      </c>
    </row>
    <row r="147" spans="3:4" ht="12.75">
      <c r="C147" s="46" t="s">
        <v>646</v>
      </c>
      <c r="D147" s="46">
        <f>Source!BC85</f>
        <v>6.72</v>
      </c>
    </row>
    <row r="148" spans="3:4" ht="12.75">
      <c r="C148" s="46" t="s">
        <v>647</v>
      </c>
      <c r="D148" s="46">
        <f>Source!BS85</f>
        <v>37.34</v>
      </c>
    </row>
    <row r="149" spans="1:28" ht="228">
      <c r="A149" s="74" t="s">
        <v>169</v>
      </c>
      <c r="B149" s="74" t="s">
        <v>169</v>
      </c>
      <c r="C149" s="74" t="str">
        <f>Source!G87</f>
        <v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AL. Заполнение: стеклопакет 6зак+20+6зак. внешняя.                                          Направляющие нерж. сталь.Панель управления. Радар Eagle. Фотоэлементы. Электромагнитный замок.).</v>
      </c>
      <c r="D149" s="74" t="str">
        <f>Source!F87</f>
        <v>ТЦ_102_40_4007021423_08092023_01</v>
      </c>
      <c r="E149" s="58" t="str">
        <f>Source!H87</f>
        <v>КОМП</v>
      </c>
      <c r="F149" s="14">
        <f>Source!I87</f>
        <v>1</v>
      </c>
      <c r="G149" s="44">
        <f>Source!AB87</f>
        <v>489550</v>
      </c>
      <c r="H149" s="44">
        <f>Source!O87</f>
        <v>489550</v>
      </c>
      <c r="T149">
        <f>Source!O87</f>
        <v>489550</v>
      </c>
      <c r="U149">
        <f>Source!P87</f>
        <v>489550</v>
      </c>
      <c r="V149">
        <f>Source!S87</f>
        <v>0</v>
      </c>
      <c r="W149">
        <f>Source!Q87</f>
        <v>0</v>
      </c>
      <c r="X149">
        <f>Source!R87</f>
        <v>0</v>
      </c>
      <c r="Y149">
        <f>Source!U87</f>
        <v>0</v>
      </c>
      <c r="Z149">
        <f>Source!V87</f>
        <v>0</v>
      </c>
      <c r="AA149">
        <f>Source!X87</f>
        <v>0</v>
      </c>
      <c r="AB149">
        <f>Source!Y87</f>
        <v>0</v>
      </c>
    </row>
    <row r="150" spans="1:28" ht="213.75">
      <c r="A150" s="74" t="s">
        <v>171</v>
      </c>
      <c r="B150" s="74" t="s">
        <v>171</v>
      </c>
      <c r="C150" s="74" t="str">
        <f>Source!G89</f>
        <v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A. Заполнение - триплекс 9 мм. Направляющие нерж. сталь.Панель управления. Радар Eagle. Фотоэлементы. Электромагнитный замок.)</v>
      </c>
      <c r="D150" s="74" t="str">
        <f>Source!F89</f>
        <v>ТЦ_102_40_4007021423_08092023_01</v>
      </c>
      <c r="E150" s="58" t="str">
        <f>Source!H89</f>
        <v>КОМП</v>
      </c>
      <c r="F150" s="14">
        <f>Source!I89</f>
        <v>1</v>
      </c>
      <c r="G150" s="44">
        <f>Source!AB89</f>
        <v>469625</v>
      </c>
      <c r="H150" s="44">
        <f>Source!O89</f>
        <v>469625</v>
      </c>
      <c r="T150">
        <f>Source!O89</f>
        <v>469625</v>
      </c>
      <c r="U150">
        <f>Source!P89</f>
        <v>469625</v>
      </c>
      <c r="V150">
        <f>Source!S89</f>
        <v>0</v>
      </c>
      <c r="W150">
        <f>Source!Q89</f>
        <v>0</v>
      </c>
      <c r="X150">
        <f>Source!R89</f>
        <v>0</v>
      </c>
      <c r="Y150">
        <f>Source!U89</f>
        <v>0</v>
      </c>
      <c r="Z150">
        <f>Source!V89</f>
        <v>0</v>
      </c>
      <c r="AA150">
        <f>Source!X89</f>
        <v>0</v>
      </c>
      <c r="AB150">
        <f>Source!Y89</f>
        <v>0</v>
      </c>
    </row>
    <row r="151" spans="1:28" ht="42.75">
      <c r="A151" s="74">
        <v>10</v>
      </c>
      <c r="B151" s="74">
        <v>10</v>
      </c>
      <c r="C151" s="74" t="str">
        <f>Source!G91</f>
        <v>Гидроизоляция набухающей самоклеящейся лентой: горизонтальных швов</v>
      </c>
      <c r="D151" s="74" t="str">
        <f>Source!F91</f>
        <v>46-08-022-05</v>
      </c>
      <c r="E151" s="58" t="str">
        <f>Source!H91</f>
        <v>100 м</v>
      </c>
      <c r="F151" s="14">
        <f>Source!I91</f>
        <v>0.138</v>
      </c>
      <c r="G151" s="44">
        <f>Source!AB91</f>
        <v>130.93</v>
      </c>
      <c r="H151" s="44">
        <f>Source!O91</f>
        <v>344.15</v>
      </c>
      <c r="T151">
        <f>Source!O91</f>
        <v>344.15</v>
      </c>
      <c r="U151">
        <f>Source!P91</f>
        <v>0</v>
      </c>
      <c r="V151">
        <f>Source!S91</f>
        <v>162.57</v>
      </c>
      <c r="W151">
        <f>Source!Q91</f>
        <v>181.58</v>
      </c>
      <c r="X151">
        <f>Source!R91</f>
        <v>20.92</v>
      </c>
      <c r="Y151">
        <f>Source!U91</f>
        <v>0.45264</v>
      </c>
      <c r="Z151">
        <f>Source!V91</f>
        <v>0.0483</v>
      </c>
      <c r="AA151">
        <f>Source!X91</f>
        <v>188.99</v>
      </c>
      <c r="AB151">
        <f>Source!Y91</f>
        <v>108.26</v>
      </c>
    </row>
    <row r="152" spans="3:8" ht="14.25">
      <c r="C152" s="46" t="str">
        <f>"Объем: "&amp;Source!I91&amp;"=13,8/"&amp;"100"</f>
        <v>Объем: 0,138=13,8/100</v>
      </c>
      <c r="F152" s="14"/>
      <c r="G152" s="14"/>
      <c r="H152" s="14"/>
    </row>
    <row r="153" spans="3:4" ht="63.75">
      <c r="C153" s="46" t="s">
        <v>643</v>
      </c>
      <c r="D153" s="46" t="str">
        <f>Source!BO91</f>
        <v>Письмо Минстроя России от 28.08.2023 № 52355-ИФ/09</v>
      </c>
    </row>
    <row r="154" spans="3:4" ht="12.75">
      <c r="C154" s="46" t="s">
        <v>644</v>
      </c>
      <c r="D154" s="46">
        <f>Source!BA91</f>
        <v>37.34</v>
      </c>
    </row>
    <row r="155" spans="3:4" ht="12.75">
      <c r="C155" s="46" t="s">
        <v>645</v>
      </c>
      <c r="D155" s="46">
        <f>Source!BB91</f>
        <v>13.24</v>
      </c>
    </row>
    <row r="156" spans="3:4" ht="12.75">
      <c r="C156" s="46" t="s">
        <v>646</v>
      </c>
      <c r="D156" s="46">
        <f>Source!BC91</f>
        <v>6.72</v>
      </c>
    </row>
    <row r="157" spans="3:4" ht="12.75">
      <c r="C157" s="46" t="s">
        <v>647</v>
      </c>
      <c r="D157" s="46">
        <f>Source!BS91</f>
        <v>37.34</v>
      </c>
    </row>
    <row r="158" spans="1:28" ht="42.75">
      <c r="A158" s="74" t="s">
        <v>176</v>
      </c>
      <c r="B158" s="74" t="s">
        <v>176</v>
      </c>
      <c r="C158" s="74" t="str">
        <f>Source!G93</f>
        <v>Лента герметизирующая самоклеящая Герлен-Д шириной: 100 мм толщиной 3 мм</v>
      </c>
      <c r="D158" s="74" t="str">
        <f>Source!F93</f>
        <v>01.7.06.01-0012</v>
      </c>
      <c r="E158" s="58" t="str">
        <f>Source!H93</f>
        <v>кг</v>
      </c>
      <c r="F158" s="14">
        <f>Source!I93</f>
        <v>5.25</v>
      </c>
      <c r="G158" s="44">
        <f>Source!AB93</f>
        <v>31.08</v>
      </c>
      <c r="H158" s="44">
        <f>Source!O93</f>
        <v>1096.5</v>
      </c>
      <c r="T158">
        <f>Source!O93</f>
        <v>1096.5</v>
      </c>
      <c r="U158">
        <f>Source!P93</f>
        <v>1096.5</v>
      </c>
      <c r="V158">
        <f>Source!S93</f>
        <v>0</v>
      </c>
      <c r="W158">
        <f>Source!Q93</f>
        <v>0</v>
      </c>
      <c r="X158">
        <f>Source!R93</f>
        <v>0</v>
      </c>
      <c r="Y158">
        <f>Source!U93</f>
        <v>0</v>
      </c>
      <c r="Z158">
        <f>Source!V93</f>
        <v>0</v>
      </c>
      <c r="AA158">
        <f>Source!X93</f>
        <v>0</v>
      </c>
      <c r="AB158">
        <f>Source!Y93</f>
        <v>0</v>
      </c>
    </row>
    <row r="159" spans="3:8" ht="63.75">
      <c r="C159" s="46" t="s">
        <v>643</v>
      </c>
      <c r="D159" s="46" t="str">
        <f>Source!BO93</f>
        <v>Письмо Минстроя России от 28.08.2023 № 52355-ИФ/09</v>
      </c>
      <c r="F159" s="14"/>
      <c r="G159" s="14"/>
      <c r="H159" s="14"/>
    </row>
    <row r="160" spans="3:4" ht="12.75">
      <c r="C160" s="46" t="s">
        <v>646</v>
      </c>
      <c r="D160" s="46">
        <f>Source!BC93</f>
        <v>6.72</v>
      </c>
    </row>
    <row r="161" spans="1:28" ht="28.5">
      <c r="A161" s="74">
        <v>11</v>
      </c>
      <c r="B161" s="74">
        <v>11</v>
      </c>
      <c r="C161" s="74" t="str">
        <f>Source!G95</f>
        <v>Укладка металлического накладного профиля (порога)</v>
      </c>
      <c r="D161" s="74" t="str">
        <f>Source!F95</f>
        <v>11-01-049-01</v>
      </c>
      <c r="E161" s="58" t="str">
        <f>Source!H95</f>
        <v>100 м</v>
      </c>
      <c r="F161" s="14">
        <f>Source!I95</f>
        <v>0.03</v>
      </c>
      <c r="G161" s="44">
        <f>Source!AB95</f>
        <v>243.63</v>
      </c>
      <c r="H161" s="44">
        <f>Source!O95</f>
        <v>199.06</v>
      </c>
      <c r="T161">
        <f>Source!O95</f>
        <v>199.06</v>
      </c>
      <c r="U161">
        <f>Source!P95</f>
        <v>16.21</v>
      </c>
      <c r="V161">
        <f>Source!S95</f>
        <v>182.85</v>
      </c>
      <c r="W161">
        <f>Source!Q95</f>
        <v>0</v>
      </c>
      <c r="X161">
        <f>Source!R95</f>
        <v>0</v>
      </c>
      <c r="Y161">
        <f>Source!U95</f>
        <v>0.5740799999999999</v>
      </c>
      <c r="Z161">
        <f>Source!V95</f>
        <v>0</v>
      </c>
      <c r="AA161">
        <f>Source!X95</f>
        <v>204.79</v>
      </c>
      <c r="AB161">
        <f>Source!Y95</f>
        <v>101.02</v>
      </c>
    </row>
    <row r="162" spans="3:8" ht="14.25">
      <c r="C162" s="46" t="str">
        <f>"Объем: "&amp;Source!I95&amp;"=3/"&amp;"100"</f>
        <v>Объем: 0,03=3/100</v>
      </c>
      <c r="F162" s="14"/>
      <c r="G162" s="14"/>
      <c r="H162" s="14"/>
    </row>
    <row r="163" spans="3:4" ht="63.75">
      <c r="C163" s="46" t="s">
        <v>643</v>
      </c>
      <c r="D163" s="46" t="str">
        <f>Source!BO95</f>
        <v>Письмо Минстроя России от 28.08.2023 № 52355-ИФ/09</v>
      </c>
    </row>
    <row r="164" spans="3:4" ht="12.75">
      <c r="C164" s="46" t="s">
        <v>644</v>
      </c>
      <c r="D164" s="46">
        <f>Source!BA95</f>
        <v>37.34</v>
      </c>
    </row>
    <row r="165" spans="3:4" ht="12.75">
      <c r="C165" s="46" t="s">
        <v>645</v>
      </c>
      <c r="D165" s="46">
        <f>Source!BB95</f>
        <v>13.24</v>
      </c>
    </row>
    <row r="166" spans="3:4" ht="12.75">
      <c r="C166" s="46" t="s">
        <v>646</v>
      </c>
      <c r="D166" s="46">
        <f>Source!BC95</f>
        <v>6.72</v>
      </c>
    </row>
    <row r="167" spans="3:4" ht="12.75">
      <c r="C167" s="46" t="s">
        <v>647</v>
      </c>
      <c r="D167" s="46">
        <f>Source!BS95</f>
        <v>37.34</v>
      </c>
    </row>
    <row r="168" spans="3:8" ht="12.75">
      <c r="C168" s="46" t="s">
        <v>649</v>
      </c>
      <c r="D168" s="169" t="s">
        <v>117</v>
      </c>
      <c r="E168" s="169"/>
      <c r="F168" s="169"/>
      <c r="G168" s="169"/>
      <c r="H168" s="169"/>
    </row>
    <row r="169" spans="3:8" ht="12.75">
      <c r="C169" s="46" t="s">
        <v>650</v>
      </c>
      <c r="D169" s="169" t="s">
        <v>117</v>
      </c>
      <c r="E169" s="169"/>
      <c r="F169" s="169"/>
      <c r="G169" s="169"/>
      <c r="H169" s="169"/>
    </row>
    <row r="170" spans="3:8" ht="12.75">
      <c r="C170" s="46" t="s">
        <v>651</v>
      </c>
      <c r="D170" s="169" t="s">
        <v>118</v>
      </c>
      <c r="E170" s="169"/>
      <c r="F170" s="169"/>
      <c r="G170" s="169"/>
      <c r="H170" s="169"/>
    </row>
    <row r="171" spans="3:8" ht="12.75">
      <c r="C171" s="46" t="s">
        <v>652</v>
      </c>
      <c r="D171" s="169" t="s">
        <v>118</v>
      </c>
      <c r="E171" s="169"/>
      <c r="F171" s="169"/>
      <c r="G171" s="169"/>
      <c r="H171" s="169"/>
    </row>
    <row r="172" spans="3:8" ht="12.75">
      <c r="C172" s="46" t="s">
        <v>653</v>
      </c>
      <c r="D172" s="169" t="s">
        <v>117</v>
      </c>
      <c r="E172" s="169"/>
      <c r="F172" s="169"/>
      <c r="G172" s="169"/>
      <c r="H172" s="169"/>
    </row>
    <row r="173" spans="3:8" ht="12.75">
      <c r="C173" s="46" t="s">
        <v>654</v>
      </c>
      <c r="D173" s="169" t="s">
        <v>119</v>
      </c>
      <c r="E173" s="169"/>
      <c r="F173" s="169"/>
      <c r="G173" s="169"/>
      <c r="H173" s="169"/>
    </row>
    <row r="174" spans="1:28" ht="42.75">
      <c r="A174" s="74" t="s">
        <v>188</v>
      </c>
      <c r="B174" s="74" t="s">
        <v>188</v>
      </c>
      <c r="C174" s="74" t="str">
        <f>Source!G97</f>
        <v>Профили стыкоперекрывающие из алюминиевых сплавов (порожки) с покрытием, шириной 60 мм</v>
      </c>
      <c r="D174" s="74" t="str">
        <f>Source!F97</f>
        <v>09.2.03.02-0022</v>
      </c>
      <c r="E174" s="58" t="str">
        <f>Source!H97</f>
        <v>м</v>
      </c>
      <c r="F174" s="14">
        <f>Source!I97</f>
        <v>3.15</v>
      </c>
      <c r="G174" s="44">
        <f>Source!AB97</f>
        <v>22.58</v>
      </c>
      <c r="H174" s="44">
        <f>Source!O97</f>
        <v>477.97</v>
      </c>
      <c r="T174">
        <f>Source!O97</f>
        <v>477.97</v>
      </c>
      <c r="U174">
        <f>Source!P97</f>
        <v>477.97</v>
      </c>
      <c r="V174">
        <f>Source!S97</f>
        <v>0</v>
      </c>
      <c r="W174">
        <f>Source!Q97</f>
        <v>0</v>
      </c>
      <c r="X174">
        <f>Source!R97</f>
        <v>0</v>
      </c>
      <c r="Y174">
        <f>Source!U97</f>
        <v>0</v>
      </c>
      <c r="Z174">
        <f>Source!V97</f>
        <v>0</v>
      </c>
      <c r="AA174">
        <f>Source!X97</f>
        <v>0</v>
      </c>
      <c r="AB174">
        <f>Source!Y97</f>
        <v>0</v>
      </c>
    </row>
    <row r="175" spans="3:8" ht="63.75">
      <c r="C175" s="46" t="s">
        <v>643</v>
      </c>
      <c r="D175" s="46" t="str">
        <f>Source!BO97</f>
        <v>Письмо Минстроя России от 28.08.2023 № 52355-ИФ/09</v>
      </c>
      <c r="F175" s="14"/>
      <c r="G175" s="14"/>
      <c r="H175" s="14"/>
    </row>
    <row r="176" spans="3:4" ht="12.75">
      <c r="C176" s="46" t="s">
        <v>646</v>
      </c>
      <c r="D176" s="46">
        <f>Source!BC97</f>
        <v>6.72</v>
      </c>
    </row>
    <row r="177" spans="1:28" ht="57">
      <c r="A177" s="74">
        <v>12</v>
      </c>
      <c r="B177" s="74">
        <v>12</v>
      </c>
      <c r="C177" s="74" t="str">
        <f>Source!G99</f>
        <v>Установка блоков в наружных и внутренних дверных проемах: в каменных стенах, площадь проема более 3 м2</v>
      </c>
      <c r="D177" s="74" t="str">
        <f>Source!F99</f>
        <v>10-01-039-02</v>
      </c>
      <c r="E177" s="58" t="str">
        <f>Source!H99</f>
        <v>100 м2</v>
      </c>
      <c r="F177" s="14">
        <f>Source!I99</f>
        <v>0.056</v>
      </c>
      <c r="G177" s="44">
        <f>Source!AB99</f>
        <v>3370.48</v>
      </c>
      <c r="H177" s="44">
        <f>Source!O99</f>
        <v>3155.66</v>
      </c>
      <c r="T177">
        <f>Source!O99</f>
        <v>3155.66</v>
      </c>
      <c r="U177">
        <f>Source!P99</f>
        <v>527.66</v>
      </c>
      <c r="V177">
        <f>Source!S99</f>
        <v>1810.59</v>
      </c>
      <c r="W177">
        <f>Source!Q99</f>
        <v>817.41</v>
      </c>
      <c r="X177">
        <f>Source!R99</f>
        <v>351.9</v>
      </c>
      <c r="Y177">
        <f>Source!U99</f>
        <v>5.158439999999999</v>
      </c>
      <c r="Z177">
        <f>Source!V99</f>
        <v>0.7168000000000001</v>
      </c>
      <c r="AA177">
        <f>Source!X99</f>
        <v>2335.49</v>
      </c>
      <c r="AB177">
        <f>Source!Y99</f>
        <v>1010.96</v>
      </c>
    </row>
    <row r="178" spans="3:8" ht="14.25">
      <c r="C178" s="46" t="str">
        <f>"Объем: "&amp;Source!I99&amp;"=5,6/"&amp;"100"</f>
        <v>Объем: 0,056=5,6/100</v>
      </c>
      <c r="F178" s="14"/>
      <c r="G178" s="14"/>
      <c r="H178" s="14"/>
    </row>
    <row r="179" spans="3:4" ht="63.75">
      <c r="C179" s="46" t="s">
        <v>643</v>
      </c>
      <c r="D179" s="46" t="str">
        <f>Source!BO99</f>
        <v>Письмо Минстроя России от 28.08.2023 № 52355-ИФ/09</v>
      </c>
    </row>
    <row r="180" spans="3:4" ht="12.75">
      <c r="C180" s="46" t="s">
        <v>644</v>
      </c>
      <c r="D180" s="46">
        <f>Source!BA99</f>
        <v>37.34</v>
      </c>
    </row>
    <row r="181" spans="3:4" ht="12.75">
      <c r="C181" s="46" t="s">
        <v>645</v>
      </c>
      <c r="D181" s="46">
        <f>Source!BB99</f>
        <v>13.24</v>
      </c>
    </row>
    <row r="182" spans="3:4" ht="12.75">
      <c r="C182" s="46" t="s">
        <v>646</v>
      </c>
      <c r="D182" s="46">
        <f>Source!BC99</f>
        <v>6.72</v>
      </c>
    </row>
    <row r="183" spans="3:4" ht="12.75">
      <c r="C183" s="46" t="s">
        <v>647</v>
      </c>
      <c r="D183" s="46">
        <f>Source!BS99</f>
        <v>37.34</v>
      </c>
    </row>
    <row r="184" spans="3:8" ht="12.75">
      <c r="C184" s="46" t="s">
        <v>649</v>
      </c>
      <c r="D184" s="169" t="s">
        <v>117</v>
      </c>
      <c r="E184" s="169"/>
      <c r="F184" s="169"/>
      <c r="G184" s="169"/>
      <c r="H184" s="169"/>
    </row>
    <row r="185" spans="3:8" ht="12.75">
      <c r="C185" s="46" t="s">
        <v>650</v>
      </c>
      <c r="D185" s="169" t="s">
        <v>117</v>
      </c>
      <c r="E185" s="169"/>
      <c r="F185" s="169"/>
      <c r="G185" s="169"/>
      <c r="H185" s="169"/>
    </row>
    <row r="186" spans="3:8" ht="12.75">
      <c r="C186" s="46" t="s">
        <v>651</v>
      </c>
      <c r="D186" s="169" t="s">
        <v>118</v>
      </c>
      <c r="E186" s="169"/>
      <c r="F186" s="169"/>
      <c r="G186" s="169"/>
      <c r="H186" s="169"/>
    </row>
    <row r="187" spans="3:8" ht="12.75">
      <c r="C187" s="46" t="s">
        <v>652</v>
      </c>
      <c r="D187" s="169" t="s">
        <v>118</v>
      </c>
      <c r="E187" s="169"/>
      <c r="F187" s="169"/>
      <c r="G187" s="169"/>
      <c r="H187" s="169"/>
    </row>
    <row r="188" spans="3:8" ht="12.75">
      <c r="C188" s="46" t="s">
        <v>653</v>
      </c>
      <c r="D188" s="169" t="s">
        <v>117</v>
      </c>
      <c r="E188" s="169"/>
      <c r="F188" s="169"/>
      <c r="G188" s="169"/>
      <c r="H188" s="169"/>
    </row>
    <row r="189" spans="3:8" ht="12.75">
      <c r="C189" s="46" t="s">
        <v>654</v>
      </c>
      <c r="D189" s="169" t="s">
        <v>119</v>
      </c>
      <c r="E189" s="169"/>
      <c r="F189" s="169"/>
      <c r="G189" s="169"/>
      <c r="H189" s="169"/>
    </row>
    <row r="190" spans="1:28" ht="128.25">
      <c r="A190" s="74" t="s">
        <v>200</v>
      </c>
      <c r="B190" s="74" t="s">
        <v>200</v>
      </c>
      <c r="C190" s="74" t="str">
        <f>Source!G101</f>
        <v>Дверной блок светопрозрачный, распашной одностворчатый (1320*2360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v>
      </c>
      <c r="D190" s="74" t="str">
        <f>Source!F101</f>
        <v>ТЦ_102_40_4007021423_08092023_01</v>
      </c>
      <c r="E190" s="58" t="str">
        <f>Source!H101</f>
        <v>КОМП</v>
      </c>
      <c r="F190" s="14">
        <f>Source!I101</f>
        <v>2</v>
      </c>
      <c r="G190" s="44">
        <f>Source!AB101</f>
        <v>104160</v>
      </c>
      <c r="H190" s="44">
        <f>Source!O101</f>
        <v>208320</v>
      </c>
      <c r="T190">
        <f>Source!O101</f>
        <v>208320</v>
      </c>
      <c r="U190">
        <f>Source!P101</f>
        <v>208320</v>
      </c>
      <c r="V190">
        <f>Source!S101</f>
        <v>0</v>
      </c>
      <c r="W190">
        <f>Source!Q101</f>
        <v>0</v>
      </c>
      <c r="X190">
        <f>Source!R101</f>
        <v>0</v>
      </c>
      <c r="Y190">
        <f>Source!U101</f>
        <v>0</v>
      </c>
      <c r="Z190">
        <f>Source!V101</f>
        <v>0</v>
      </c>
      <c r="AA190">
        <f>Source!X101</f>
        <v>0</v>
      </c>
      <c r="AB190">
        <f>Source!Y101</f>
        <v>0</v>
      </c>
    </row>
    <row r="191" spans="1:28" ht="28.5">
      <c r="A191" s="74">
        <v>13</v>
      </c>
      <c r="B191" s="74">
        <v>13</v>
      </c>
      <c r="C191" s="74" t="str">
        <f>Source!G103</f>
        <v>Установка: дверного доводчика</v>
      </c>
      <c r="D191" s="74" t="str">
        <f>Source!F103</f>
        <v>10-01-049-02</v>
      </c>
      <c r="E191" s="58" t="str">
        <f>Source!H103</f>
        <v>100 ШТ</v>
      </c>
      <c r="F191" s="14">
        <f>Source!I103</f>
        <v>0.02</v>
      </c>
      <c r="G191" s="44">
        <f>Source!AB103</f>
        <v>309.78</v>
      </c>
      <c r="H191" s="44">
        <f>Source!O103</f>
        <v>221.76</v>
      </c>
      <c r="T191">
        <f>Source!O103</f>
        <v>221.76</v>
      </c>
      <c r="U191">
        <f>Source!P103</f>
        <v>0.3</v>
      </c>
      <c r="V191">
        <f>Source!S103</f>
        <v>216.93</v>
      </c>
      <c r="W191">
        <f>Source!Q103</f>
        <v>4.53</v>
      </c>
      <c r="X191">
        <f>Source!R103</f>
        <v>1.68</v>
      </c>
      <c r="Y191">
        <f>Source!U103</f>
        <v>0.61088</v>
      </c>
      <c r="Z191">
        <f>Source!V103</f>
        <v>0.0035000000000000005</v>
      </c>
      <c r="AA191">
        <f>Source!X103</f>
        <v>236.1</v>
      </c>
      <c r="AB191">
        <f>Source!Y103</f>
        <v>102.2</v>
      </c>
    </row>
    <row r="192" spans="3:8" ht="14.25">
      <c r="C192" s="46" t="str">
        <f>"Объем: "&amp;Source!I103&amp;"=2/"&amp;"100"</f>
        <v>Объем: 0,02=2/100</v>
      </c>
      <c r="F192" s="14"/>
      <c r="G192" s="14"/>
      <c r="H192" s="14"/>
    </row>
    <row r="193" spans="3:4" ht="63.75">
      <c r="C193" s="46" t="s">
        <v>643</v>
      </c>
      <c r="D193" s="46" t="str">
        <f>Source!BO103</f>
        <v>Письмо Минстроя России от 28.08.2023 № 52355-ИФ/09</v>
      </c>
    </row>
    <row r="194" spans="3:4" ht="12.75">
      <c r="C194" s="46" t="s">
        <v>644</v>
      </c>
      <c r="D194" s="46">
        <f>Source!BA103</f>
        <v>37.34</v>
      </c>
    </row>
    <row r="195" spans="3:4" ht="12.75">
      <c r="C195" s="46" t="s">
        <v>645</v>
      </c>
      <c r="D195" s="46">
        <f>Source!BB103</f>
        <v>13.24</v>
      </c>
    </row>
    <row r="196" spans="3:4" ht="12.75">
      <c r="C196" s="46" t="s">
        <v>646</v>
      </c>
      <c r="D196" s="46">
        <f>Source!BC103</f>
        <v>6.72</v>
      </c>
    </row>
    <row r="197" spans="3:4" ht="12.75">
      <c r="C197" s="46" t="s">
        <v>647</v>
      </c>
      <c r="D197" s="46">
        <f>Source!BS103</f>
        <v>37.34</v>
      </c>
    </row>
    <row r="198" spans="3:8" ht="12.75">
      <c r="C198" s="46" t="s">
        <v>649</v>
      </c>
      <c r="D198" s="169" t="s">
        <v>117</v>
      </c>
      <c r="E198" s="169"/>
      <c r="F198" s="169"/>
      <c r="G198" s="169"/>
      <c r="H198" s="169"/>
    </row>
    <row r="199" spans="3:8" ht="12.75">
      <c r="C199" s="46" t="s">
        <v>650</v>
      </c>
      <c r="D199" s="169" t="s">
        <v>117</v>
      </c>
      <c r="E199" s="169"/>
      <c r="F199" s="169"/>
      <c r="G199" s="169"/>
      <c r="H199" s="169"/>
    </row>
    <row r="200" spans="3:8" ht="12.75">
      <c r="C200" s="46" t="s">
        <v>651</v>
      </c>
      <c r="D200" s="169" t="s">
        <v>118</v>
      </c>
      <c r="E200" s="169"/>
      <c r="F200" s="169"/>
      <c r="G200" s="169"/>
      <c r="H200" s="169"/>
    </row>
    <row r="201" spans="3:8" ht="12.75">
      <c r="C201" s="46" t="s">
        <v>652</v>
      </c>
      <c r="D201" s="169" t="s">
        <v>118</v>
      </c>
      <c r="E201" s="169"/>
      <c r="F201" s="169"/>
      <c r="G201" s="169"/>
      <c r="H201" s="169"/>
    </row>
    <row r="202" spans="3:8" ht="12.75">
      <c r="C202" s="46" t="s">
        <v>653</v>
      </c>
      <c r="D202" s="169" t="s">
        <v>117</v>
      </c>
      <c r="E202" s="169"/>
      <c r="F202" s="169"/>
      <c r="G202" s="169"/>
      <c r="H202" s="169"/>
    </row>
    <row r="203" spans="3:8" ht="12.75">
      <c r="C203" s="46" t="s">
        <v>654</v>
      </c>
      <c r="D203" s="169" t="s">
        <v>119</v>
      </c>
      <c r="E203" s="169"/>
      <c r="F203" s="169"/>
      <c r="G203" s="169"/>
      <c r="H203" s="169"/>
    </row>
    <row r="205" spans="1:8" ht="15">
      <c r="A205" s="64"/>
      <c r="B205" s="64"/>
      <c r="C205" s="144" t="str">
        <f>CONCATENATE("Итого по разделу: ",IF(Source!G105&lt;&gt;"Новый раздел",Source!G105,""))</f>
        <v>Итого по разделу: Ремонтные работы</v>
      </c>
      <c r="D205" s="144"/>
      <c r="E205" s="144"/>
      <c r="F205" s="144"/>
      <c r="G205" s="64"/>
      <c r="H205" s="65">
        <f>IF(SUM(T39:T204)=0,"-",SUM(T39:T204))</f>
        <v>2774084.57</v>
      </c>
    </row>
    <row r="206" spans="1:8" ht="15">
      <c r="A206" s="64"/>
      <c r="B206" s="64"/>
      <c r="C206" s="64"/>
      <c r="D206" s="64"/>
      <c r="E206" s="64"/>
      <c r="F206" s="64"/>
      <c r="G206" s="64"/>
      <c r="H206" s="64"/>
    </row>
    <row r="208" spans="3:8" ht="14.25">
      <c r="C208" s="133" t="str">
        <f>Source!H134</f>
        <v>итого по разделу</v>
      </c>
      <c r="D208" s="133"/>
      <c r="E208" s="133"/>
      <c r="F208" s="133"/>
      <c r="G208" s="172">
        <f>IF(Source!P134=0,"",Source!P134)</f>
        <v>2962329.15</v>
      </c>
      <c r="H208" s="172"/>
    </row>
    <row r="210" spans="1:8" ht="16.5">
      <c r="A210" s="145" t="str">
        <f>CONCATENATE("Раздел: ",IF(Source!G136&lt;&gt;"Новый раздел",Source!G136,""))</f>
        <v>Раздел: Разные работы</v>
      </c>
      <c r="B210" s="145"/>
      <c r="C210" s="145"/>
      <c r="D210" s="145"/>
      <c r="E210" s="145"/>
      <c r="F210" s="145"/>
      <c r="G210" s="145"/>
      <c r="H210" s="145"/>
    </row>
    <row r="211" spans="1:28" ht="42.75">
      <c r="A211" s="74">
        <v>14</v>
      </c>
      <c r="B211" s="74">
        <v>14</v>
      </c>
      <c r="C211" s="74" t="str">
        <f>Source!G141</f>
        <v>Погрузка при автомобильных перевозках мусора строительного с погрузкой вручную</v>
      </c>
      <c r="D211" s="74" t="str">
        <f>Source!F141</f>
        <v>т01-01-01-041</v>
      </c>
      <c r="E211" s="58" t="str">
        <f>Source!H141</f>
        <v>1 Т ГРУЗА</v>
      </c>
      <c r="F211" s="14">
        <f>Source!I141</f>
        <v>2</v>
      </c>
      <c r="G211" s="44">
        <f>Source!AB141</f>
        <v>42.98</v>
      </c>
      <c r="H211" s="44">
        <f>Source!GM141</f>
        <v>1138.11</v>
      </c>
      <c r="T211">
        <f>Source!GM141</f>
        <v>1138.11</v>
      </c>
      <c r="U211">
        <f>Source!P141</f>
        <v>0</v>
      </c>
      <c r="V211">
        <f>Source!S141</f>
        <v>0</v>
      </c>
      <c r="W211">
        <f>Source!Q141</f>
        <v>0</v>
      </c>
      <c r="X211">
        <f>Source!R141</f>
        <v>0</v>
      </c>
      <c r="Y211">
        <f>Source!U141</f>
        <v>0</v>
      </c>
      <c r="Z211">
        <f>Source!V141</f>
        <v>0</v>
      </c>
      <c r="AA211">
        <f>Source!X141</f>
        <v>0</v>
      </c>
      <c r="AB211">
        <f>Source!Y141</f>
        <v>0</v>
      </c>
    </row>
    <row r="212" spans="3:8" ht="63.75">
      <c r="C212" s="46" t="s">
        <v>643</v>
      </c>
      <c r="D212" s="46" t="str">
        <f>Source!BO141</f>
        <v>Письмо Минстроя России от 28.08.2023 № 52355-ИФ/09</v>
      </c>
      <c r="F212" s="14"/>
      <c r="G212" s="14"/>
      <c r="H212" s="14"/>
    </row>
    <row r="213" spans="3:4" ht="12.75">
      <c r="C213" s="46" t="s">
        <v>655</v>
      </c>
      <c r="D213" s="46">
        <f>Source!AZ141</f>
        <v>13.24</v>
      </c>
    </row>
    <row r="214" spans="1:28" ht="57">
      <c r="A214" s="74">
        <v>15</v>
      </c>
      <c r="B214" s="74">
        <v>15</v>
      </c>
      <c r="C214" s="74" t="str">
        <f>Source!G143</f>
        <v>Перевозка грузов I класса автомобилями бортовыми грузоподъемностью до 15 т на расстояние до 50 км</v>
      </c>
      <c r="D214" s="74" t="str">
        <f>Source!F143</f>
        <v>т03-01-01-050</v>
      </c>
      <c r="E214" s="58" t="str">
        <f>Source!H143</f>
        <v>1 Т ГРУЗА</v>
      </c>
      <c r="F214" s="14">
        <f>Source!I143</f>
        <v>2</v>
      </c>
      <c r="G214" s="44">
        <f>Source!AB143</f>
        <v>23.67</v>
      </c>
      <c r="H214" s="44">
        <f>Source!GM143</f>
        <v>626.78</v>
      </c>
      <c r="T214">
        <f>Source!GM143</f>
        <v>626.78</v>
      </c>
      <c r="U214">
        <f>Source!P143</f>
        <v>0</v>
      </c>
      <c r="V214">
        <f>Source!S143</f>
        <v>0</v>
      </c>
      <c r="W214">
        <f>Source!Q143</f>
        <v>0</v>
      </c>
      <c r="X214">
        <f>Source!R143</f>
        <v>0</v>
      </c>
      <c r="Y214">
        <f>Source!U143</f>
        <v>0</v>
      </c>
      <c r="Z214">
        <f>Source!V143</f>
        <v>0</v>
      </c>
      <c r="AA214">
        <f>Source!X143</f>
        <v>0</v>
      </c>
      <c r="AB214">
        <f>Source!Y143</f>
        <v>0</v>
      </c>
    </row>
    <row r="215" spans="3:8" ht="63.75">
      <c r="C215" s="46" t="s">
        <v>643</v>
      </c>
      <c r="D215" s="46" t="str">
        <f>Source!BO143</f>
        <v>Письмо Минстроя России от 28.08.2023 № 52355-ИФ/09</v>
      </c>
      <c r="F215" s="14"/>
      <c r="G215" s="14"/>
      <c r="H215" s="14"/>
    </row>
    <row r="216" spans="3:4" ht="12.75">
      <c r="C216" s="46" t="s">
        <v>655</v>
      </c>
      <c r="D216" s="46">
        <f>Source!AZ143</f>
        <v>13.24</v>
      </c>
    </row>
    <row r="218" spans="1:8" ht="15">
      <c r="A218" s="64"/>
      <c r="B218" s="64"/>
      <c r="C218" s="144" t="str">
        <f>CONCATENATE("Итого по разделу: ",IF(Source!G145&lt;&gt;"Новый раздел",Source!G145,""))</f>
        <v>Итого по разделу: Разные работы</v>
      </c>
      <c r="D218" s="144"/>
      <c r="E218" s="144"/>
      <c r="F218" s="144"/>
      <c r="G218" s="64"/>
      <c r="H218" s="65">
        <f>IF(SUM(T210:T217)=0,"-",SUM(T210:T217))</f>
        <v>1764.8899999999999</v>
      </c>
    </row>
    <row r="219" spans="1:8" ht="15">
      <c r="A219" s="64"/>
      <c r="B219" s="64"/>
      <c r="C219" s="64"/>
      <c r="D219" s="64"/>
      <c r="E219" s="64"/>
      <c r="F219" s="64"/>
      <c r="G219" s="64"/>
      <c r="H219" s="64"/>
    </row>
    <row r="221" spans="3:8" ht="14.25">
      <c r="C221" s="133" t="str">
        <f>Source!H151</f>
        <v>Стоимость материалов (всего)</v>
      </c>
      <c r="D221" s="133"/>
      <c r="E221" s="133"/>
      <c r="F221" s="133"/>
      <c r="G221" s="172">
        <f>IF(Source!P151=0,"",Source!P151)</f>
      </c>
      <c r="H221" s="172"/>
    </row>
    <row r="222" spans="3:8" ht="14.25">
      <c r="C222" s="133" t="str">
        <f>Source!H174</f>
        <v>итого по разделу</v>
      </c>
      <c r="D222" s="133"/>
      <c r="E222" s="133"/>
      <c r="F222" s="133"/>
      <c r="G222" s="172">
        <f>IF(Source!P174=0,"",Source!P174)</f>
        <v>1764.89</v>
      </c>
      <c r="H222" s="172"/>
    </row>
    <row r="224" spans="1:8" ht="15">
      <c r="A224" s="64"/>
      <c r="B224" s="64"/>
      <c r="C224" s="144" t="str">
        <f>CONCATENATE("Итого по локальной смете: ",IF(Source!G176&lt;&gt;"Новая локальная смета",Source!G176,""))</f>
        <v>Итого по локальной смете: </v>
      </c>
      <c r="D224" s="144"/>
      <c r="E224" s="144"/>
      <c r="F224" s="144"/>
      <c r="G224" s="64"/>
      <c r="H224" s="65">
        <f>IF(SUM(T37:T223)=0,"-",SUM(T37:T223))</f>
        <v>2775849.4599999995</v>
      </c>
    </row>
    <row r="225" spans="1:8" ht="15">
      <c r="A225" s="64"/>
      <c r="B225" s="64"/>
      <c r="C225" s="64"/>
      <c r="D225" s="64"/>
      <c r="E225" s="64"/>
      <c r="F225" s="64"/>
      <c r="G225" s="64"/>
      <c r="H225" s="64"/>
    </row>
    <row r="227" spans="3:8" ht="14.25">
      <c r="C227" s="133" t="str">
        <f>Source!H182</f>
        <v>Стоимость материалов (всего)</v>
      </c>
      <c r="D227" s="133"/>
      <c r="E227" s="133"/>
      <c r="F227" s="133"/>
      <c r="G227" s="172">
        <f>IF(Source!P182=0,"",Source!P182)</f>
        <v>2639486.28</v>
      </c>
      <c r="H227" s="172"/>
    </row>
    <row r="228" spans="3:8" ht="14.25">
      <c r="C228" s="133" t="str">
        <f>Source!H205</f>
        <v>Всего материалов</v>
      </c>
      <c r="D228" s="133"/>
      <c r="E228" s="133"/>
      <c r="F228" s="133"/>
      <c r="G228" s="172">
        <f>IF(Source!P205=0,"",Source!P205)</f>
        <v>2639486.28</v>
      </c>
      <c r="H228" s="172"/>
    </row>
    <row r="229" spans="3:8" ht="14.25">
      <c r="C229" s="133" t="str">
        <f>Source!H206</f>
        <v>Итого</v>
      </c>
      <c r="D229" s="133"/>
      <c r="E229" s="133"/>
      <c r="F229" s="133"/>
      <c r="G229" s="172">
        <f>IF(Source!P206=0,"",Source!P206)</f>
        <v>2964094.04</v>
      </c>
      <c r="H229" s="172"/>
    </row>
    <row r="230" spans="3:8" ht="14.25">
      <c r="C230" s="133" t="str">
        <f>Source!H207</f>
        <v>НДС 20%</v>
      </c>
      <c r="D230" s="133"/>
      <c r="E230" s="133"/>
      <c r="F230" s="133"/>
      <c r="G230" s="172">
        <f>IF(Source!P207=0,"",Source!P207)</f>
        <v>592818.81</v>
      </c>
      <c r="H230" s="172"/>
    </row>
    <row r="231" spans="3:8" ht="14.25">
      <c r="C231" s="133" t="str">
        <f>Source!H208</f>
        <v>ВСЕГО ПО СМЕТЕ</v>
      </c>
      <c r="D231" s="133"/>
      <c r="E231" s="133"/>
      <c r="F231" s="133"/>
      <c r="G231" s="172">
        <f>IF(Source!P208=0,"",Source!P208)</f>
        <v>3556912.85</v>
      </c>
      <c r="H231" s="172"/>
    </row>
    <row r="233" spans="1:33" ht="30">
      <c r="A233" s="64"/>
      <c r="B233" s="64"/>
      <c r="C233" s="144" t="str">
        <f>CONCATENATE("Итого по смете: ",IF(Source!G210&lt;&gt;"Новый объект",Source!G210,""))</f>
        <v>Итого по смете: Выполнение работ по замене ограждающих конструкций стен тамбура главного входа ИПУ РАН</v>
      </c>
      <c r="D233" s="144"/>
      <c r="E233" s="144"/>
      <c r="F233" s="144"/>
      <c r="G233" s="64"/>
      <c r="H233" s="65">
        <f>IF(SUM(T1:T232)=0,"-",SUM(T1:T232))</f>
        <v>2775849.4599999995</v>
      </c>
      <c r="AG233" s="96" t="str">
        <f>CONCATENATE("Итого по смете: ",IF(Source!G210&lt;&gt;"Новый объект",Source!G210,""))</f>
        <v>Итого по смете: Выполнение работ по замене ограждающих конструкций стен тамбура главного входа ИПУ РАН</v>
      </c>
    </row>
    <row r="234" spans="1:8" ht="15">
      <c r="A234" s="64"/>
      <c r="B234" s="64"/>
      <c r="C234" s="64"/>
      <c r="D234" s="64"/>
      <c r="E234" s="64"/>
      <c r="F234" s="64"/>
      <c r="G234" s="64"/>
      <c r="H234" s="64"/>
    </row>
    <row r="235" spans="3:8" ht="14.25">
      <c r="C235" s="133" t="str">
        <f>Source!H218</f>
        <v>Стоимость материалов подрядчика</v>
      </c>
      <c r="D235" s="133"/>
      <c r="E235" s="133"/>
      <c r="F235" s="133"/>
      <c r="G235" s="172">
        <f>IF(Source!P218=0,"",Source!P218)</f>
        <v>2639486.28</v>
      </c>
      <c r="H235" s="172"/>
    </row>
    <row r="238" spans="1:12" ht="15" thickBot="1">
      <c r="A238" s="173" t="s">
        <v>656</v>
      </c>
      <c r="B238" s="173"/>
      <c r="C238" s="97" t="str">
        <f>IF(Source!AC12&lt;&gt;"",Source!AC12," ")</f>
        <v>Ведущий инжененр РЕСО</v>
      </c>
      <c r="D238" s="14"/>
      <c r="E238" s="98"/>
      <c r="F238" s="14"/>
      <c r="G238" s="174" t="str">
        <f>IF(Source!AB12&lt;&gt;"",Source!AB12," ")</f>
        <v>Степанова А.М.</v>
      </c>
      <c r="H238" s="174"/>
      <c r="I238" s="14"/>
      <c r="J238" s="14"/>
      <c r="K238" s="14"/>
      <c r="L238" s="14"/>
    </row>
    <row r="239" spans="1:12" ht="14.25">
      <c r="A239" s="14"/>
      <c r="B239" s="14"/>
      <c r="C239" s="99" t="s">
        <v>657</v>
      </c>
      <c r="D239" s="14"/>
      <c r="E239" s="99" t="s">
        <v>658</v>
      </c>
      <c r="F239" s="14"/>
      <c r="G239" s="175" t="s">
        <v>659</v>
      </c>
      <c r="H239" s="175"/>
      <c r="I239" s="14"/>
      <c r="J239" s="14"/>
      <c r="K239" s="14"/>
      <c r="L239" s="14"/>
    </row>
    <row r="240" spans="1:12" ht="14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ht="14.25">
      <c r="A241" s="14"/>
      <c r="B241" s="14"/>
      <c r="C241" s="17" t="s">
        <v>660</v>
      </c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ht="14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ht="15" thickBot="1">
      <c r="A243" s="173" t="s">
        <v>661</v>
      </c>
      <c r="B243" s="173"/>
      <c r="C243" s="97" t="str">
        <f>IF(Source!AG12&lt;&gt;"",Source!AG12," ")</f>
        <v> </v>
      </c>
      <c r="D243" s="14"/>
      <c r="E243" s="98"/>
      <c r="F243" s="14"/>
      <c r="G243" s="174" t="str">
        <f>IF(Source!AF12&lt;&gt;"",Source!AF12," ")</f>
        <v> </v>
      </c>
      <c r="H243" s="174"/>
      <c r="I243" s="14"/>
      <c r="J243" s="14"/>
      <c r="K243" s="14"/>
      <c r="L243" s="14"/>
    </row>
    <row r="244" spans="1:12" ht="14.25">
      <c r="A244" s="14"/>
      <c r="B244" s="14"/>
      <c r="C244" s="99" t="s">
        <v>657</v>
      </c>
      <c r="D244" s="14"/>
      <c r="E244" s="99" t="s">
        <v>658</v>
      </c>
      <c r="F244" s="14"/>
      <c r="G244" s="175" t="s">
        <v>659</v>
      </c>
      <c r="H244" s="175"/>
      <c r="I244" s="14"/>
      <c r="J244" s="14"/>
      <c r="K244" s="14"/>
      <c r="L244" s="14"/>
    </row>
    <row r="245" spans="1:12" ht="14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ht="14.25">
      <c r="A246" s="14"/>
      <c r="B246" s="14"/>
      <c r="C246" s="17" t="s">
        <v>660</v>
      </c>
      <c r="D246" s="14"/>
      <c r="E246" s="14"/>
      <c r="F246" s="14"/>
      <c r="G246" s="14"/>
      <c r="H246" s="14"/>
      <c r="I246" s="14"/>
      <c r="J246" s="14"/>
      <c r="K246" s="14"/>
      <c r="L246" s="14"/>
    </row>
  </sheetData>
  <sheetProtection/>
  <mergeCells count="128">
    <mergeCell ref="A238:B238"/>
    <mergeCell ref="G238:H238"/>
    <mergeCell ref="G239:H239"/>
    <mergeCell ref="A243:B243"/>
    <mergeCell ref="G243:H243"/>
    <mergeCell ref="G244:H244"/>
    <mergeCell ref="C230:F230"/>
    <mergeCell ref="G230:H230"/>
    <mergeCell ref="C231:F231"/>
    <mergeCell ref="G231:H231"/>
    <mergeCell ref="C233:F233"/>
    <mergeCell ref="C235:F235"/>
    <mergeCell ref="G235:H235"/>
    <mergeCell ref="C227:F227"/>
    <mergeCell ref="G227:H227"/>
    <mergeCell ref="C228:F228"/>
    <mergeCell ref="G228:H228"/>
    <mergeCell ref="C229:F229"/>
    <mergeCell ref="G229:H229"/>
    <mergeCell ref="C218:F218"/>
    <mergeCell ref="C221:F221"/>
    <mergeCell ref="G221:H221"/>
    <mergeCell ref="C222:F222"/>
    <mergeCell ref="G222:H222"/>
    <mergeCell ref="C224:F224"/>
    <mergeCell ref="D202:H202"/>
    <mergeCell ref="D203:H203"/>
    <mergeCell ref="C205:F205"/>
    <mergeCell ref="C208:F208"/>
    <mergeCell ref="G208:H208"/>
    <mergeCell ref="A210:H210"/>
    <mergeCell ref="D188:H188"/>
    <mergeCell ref="D189:H189"/>
    <mergeCell ref="D198:H198"/>
    <mergeCell ref="D199:H199"/>
    <mergeCell ref="D200:H200"/>
    <mergeCell ref="D201:H201"/>
    <mergeCell ref="D172:H172"/>
    <mergeCell ref="D173:H173"/>
    <mergeCell ref="D184:H184"/>
    <mergeCell ref="D185:H185"/>
    <mergeCell ref="D186:H186"/>
    <mergeCell ref="D187:H187"/>
    <mergeCell ref="D140:H140"/>
    <mergeCell ref="D141:H141"/>
    <mergeCell ref="D168:H168"/>
    <mergeCell ref="D169:H169"/>
    <mergeCell ref="D170:H170"/>
    <mergeCell ref="D171:H171"/>
    <mergeCell ref="D125:H125"/>
    <mergeCell ref="D126:H126"/>
    <mergeCell ref="D136:H136"/>
    <mergeCell ref="D137:H137"/>
    <mergeCell ref="D138:H138"/>
    <mergeCell ref="D139:H139"/>
    <mergeCell ref="D112:H112"/>
    <mergeCell ref="D113:H113"/>
    <mergeCell ref="D121:H121"/>
    <mergeCell ref="D122:H122"/>
    <mergeCell ref="D123:H123"/>
    <mergeCell ref="D124:H124"/>
    <mergeCell ref="D87:H87"/>
    <mergeCell ref="D88:H88"/>
    <mergeCell ref="D108:H108"/>
    <mergeCell ref="D109:H109"/>
    <mergeCell ref="D110:H110"/>
    <mergeCell ref="D111:H111"/>
    <mergeCell ref="D75:H75"/>
    <mergeCell ref="D76:H76"/>
    <mergeCell ref="D83:H83"/>
    <mergeCell ref="D84:H84"/>
    <mergeCell ref="D85:H85"/>
    <mergeCell ref="D86:H86"/>
    <mergeCell ref="D63:H63"/>
    <mergeCell ref="D64:H64"/>
    <mergeCell ref="D71:H71"/>
    <mergeCell ref="D72:H72"/>
    <mergeCell ref="D73:H73"/>
    <mergeCell ref="D74:H74"/>
    <mergeCell ref="D51:H51"/>
    <mergeCell ref="D52:H52"/>
    <mergeCell ref="D59:H59"/>
    <mergeCell ref="D60:H60"/>
    <mergeCell ref="D61:H61"/>
    <mergeCell ref="D62:H62"/>
    <mergeCell ref="A37:H37"/>
    <mergeCell ref="A39:H39"/>
    <mergeCell ref="D47:H47"/>
    <mergeCell ref="D48:H48"/>
    <mergeCell ref="D49:H49"/>
    <mergeCell ref="D50:H50"/>
    <mergeCell ref="F31:G31"/>
    <mergeCell ref="A33:B33"/>
    <mergeCell ref="C33:C34"/>
    <mergeCell ref="D33:D34"/>
    <mergeCell ref="E33:E34"/>
    <mergeCell ref="F33:H33"/>
    <mergeCell ref="G22:H22"/>
    <mergeCell ref="D24:D25"/>
    <mergeCell ref="E24:E25"/>
    <mergeCell ref="F24:G24"/>
    <mergeCell ref="A28:H28"/>
    <mergeCell ref="A29:H29"/>
    <mergeCell ref="C18:E18"/>
    <mergeCell ref="D19:F19"/>
    <mergeCell ref="G19:H19"/>
    <mergeCell ref="D20:E20"/>
    <mergeCell ref="G20:H20"/>
    <mergeCell ref="G21:H21"/>
    <mergeCell ref="C16:E16"/>
    <mergeCell ref="G16:H17"/>
    <mergeCell ref="C17:E17"/>
    <mergeCell ref="C10:E10"/>
    <mergeCell ref="G10:H11"/>
    <mergeCell ref="C11:E11"/>
    <mergeCell ref="C12:E12"/>
    <mergeCell ref="G12:H13"/>
    <mergeCell ref="C13:E13"/>
    <mergeCell ref="E2:H2"/>
    <mergeCell ref="E3:H3"/>
    <mergeCell ref="E4:H4"/>
    <mergeCell ref="G6:H6"/>
    <mergeCell ref="G7:H7"/>
    <mergeCell ref="G8:H9"/>
    <mergeCell ref="C9:E9"/>
    <mergeCell ref="C14:E14"/>
    <mergeCell ref="G14:H15"/>
    <mergeCell ref="C15:E15"/>
  </mergeCells>
  <printOptions/>
  <pageMargins left="0.4" right="0.2" top="0.2" bottom="0.4" header="0.2" footer="0.2"/>
  <pageSetup fitToHeight="0" fitToWidth="1" horizontalDpi="600" verticalDpi="600" orientation="portrait" paperSize="9" scale="85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4" t="s">
        <v>480</v>
      </c>
    </row>
    <row r="4" spans="3:4" ht="15">
      <c r="C4" s="64"/>
      <c r="D4" s="64"/>
    </row>
    <row r="5" spans="3:4" ht="15">
      <c r="C5" s="150" t="s">
        <v>598</v>
      </c>
      <c r="D5" s="150"/>
    </row>
    <row r="6" spans="3:4" ht="15">
      <c r="C6" s="80"/>
      <c r="D6" s="80"/>
    </row>
    <row r="7" spans="3:4" ht="15">
      <c r="C7" s="150" t="s">
        <v>598</v>
      </c>
      <c r="D7" s="150"/>
    </row>
    <row r="8" spans="3:4" ht="15">
      <c r="C8" s="80"/>
      <c r="D8" s="80"/>
    </row>
    <row r="9" spans="3:4" ht="15">
      <c r="C9" s="64" t="s">
        <v>599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76" t="str">
        <f>CONCATENATE("Дефектный акт ",IF(Source!AN15&lt;&gt;"",Source!AN15," "))</f>
        <v>Дефектный акт  </v>
      </c>
      <c r="B11" s="176"/>
      <c r="C11" s="176"/>
      <c r="D11" s="176"/>
      <c r="E11" s="14"/>
    </row>
    <row r="12" spans="1:30" ht="30">
      <c r="A12" s="177" t="str">
        <f>CONCATENATE("На капитальный ремонт ",Source!F12," ",Source!G12)</f>
        <v>На капитальный ремонт  Выполнение работ по замене ограждающих конструкций стен тамбура главного входа ИПУ РАН</v>
      </c>
      <c r="B12" s="177"/>
      <c r="C12" s="177"/>
      <c r="D12" s="177"/>
      <c r="E12" s="14"/>
      <c r="AD12" s="101" t="str">
        <f>CONCATENATE("На капитальный ремонт ",Source!F12," ",Source!G12)</f>
        <v>На капитальный ремонт  Выполнение работ по замене ограждающих конструкций стен тамбура главного входа ИПУ РАН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100" t="s">
        <v>662</v>
      </c>
      <c r="C14" s="14"/>
      <c r="D14" s="14"/>
      <c r="E14" s="14"/>
    </row>
    <row r="15" spans="1:5" ht="15">
      <c r="A15" s="14"/>
      <c r="B15" s="100" t="s">
        <v>663</v>
      </c>
      <c r="C15" s="14"/>
      <c r="D15" s="14"/>
      <c r="E15" s="14"/>
    </row>
    <row r="16" spans="1:5" ht="15">
      <c r="A16" s="14"/>
      <c r="B16" s="100" t="s">
        <v>664</v>
      </c>
      <c r="C16" s="14"/>
      <c r="D16" s="14"/>
      <c r="E16" s="14"/>
    </row>
    <row r="17" spans="1:5" ht="28.5">
      <c r="A17" s="82" t="s">
        <v>504</v>
      </c>
      <c r="B17" s="82" t="s">
        <v>506</v>
      </c>
      <c r="C17" s="82" t="s">
        <v>507</v>
      </c>
      <c r="D17" s="82" t="s">
        <v>508</v>
      </c>
      <c r="E17" s="83" t="s">
        <v>603</v>
      </c>
    </row>
    <row r="18" spans="1:5" ht="14.25">
      <c r="A18" s="102">
        <v>1</v>
      </c>
      <c r="B18" s="102">
        <v>2</v>
      </c>
      <c r="C18" s="102">
        <v>3</v>
      </c>
      <c r="D18" s="102">
        <v>4</v>
      </c>
      <c r="E18" s="103">
        <v>5</v>
      </c>
    </row>
    <row r="19" spans="1:5" ht="16.5">
      <c r="A19" s="149" t="str">
        <f>CONCATENATE("Локальная смета: ",Source!G20)</f>
        <v>Локальная смета: </v>
      </c>
      <c r="B19" s="149"/>
      <c r="C19" s="149"/>
      <c r="D19" s="149"/>
      <c r="E19" s="149"/>
    </row>
    <row r="20" spans="1:5" ht="16.5">
      <c r="A20" s="149" t="str">
        <f>CONCATENATE("Раздел: ",Source!G24)</f>
        <v>Раздел: Ремонтные работы</v>
      </c>
      <c r="B20" s="149"/>
      <c r="C20" s="149"/>
      <c r="D20" s="149"/>
      <c r="E20" s="149"/>
    </row>
    <row r="21" spans="1:5" ht="28.5">
      <c r="A21" s="108">
        <v>1</v>
      </c>
      <c r="B21" s="109" t="str">
        <f>Source!G28</f>
        <v>Демонтаж перегородок: из алюминиевых сплавов сборно-разборных с остеклением (Применительно)</v>
      </c>
      <c r="C21" s="110" t="str">
        <f>Source!H28</f>
        <v>100 м2</v>
      </c>
      <c r="D21" s="111">
        <f>Source!I28</f>
        <v>0.54</v>
      </c>
      <c r="E21" s="109"/>
    </row>
    <row r="22" spans="1:5" ht="14.25">
      <c r="A22" s="108">
        <v>2</v>
      </c>
      <c r="B22" s="109" t="str">
        <f>Source!G30</f>
        <v>Демонтаж металлоконструкций(Применительно)</v>
      </c>
      <c r="C22" s="110" t="str">
        <f>Source!H30</f>
        <v>т</v>
      </c>
      <c r="D22" s="111">
        <f>Source!I30</f>
        <v>0.2</v>
      </c>
      <c r="E22" s="109"/>
    </row>
    <row r="23" spans="1:5" ht="14.25">
      <c r="A23" s="108">
        <v>3</v>
      </c>
      <c r="B23" s="109" t="str">
        <f>Source!G58</f>
        <v>Срезка анкерных болтов (Применительно)</v>
      </c>
      <c r="C23" s="110" t="str">
        <f>Source!H58</f>
        <v>т</v>
      </c>
      <c r="D23" s="111">
        <f>Source!I58</f>
        <v>0.015</v>
      </c>
      <c r="E23" s="109"/>
    </row>
    <row r="24" spans="1:5" ht="14.25">
      <c r="A24" s="108">
        <v>4</v>
      </c>
      <c r="B24" s="109" t="str">
        <f>Source!G64</f>
        <v>Монтаж подконструкции (Применительно)</v>
      </c>
      <c r="C24" s="110" t="str">
        <f>Source!H64</f>
        <v>т</v>
      </c>
      <c r="D24" s="111">
        <f>Source!I64</f>
        <v>0.24</v>
      </c>
      <c r="E24" s="109"/>
    </row>
    <row r="25" spans="1:5" ht="28.5">
      <c r="A25" s="108">
        <v>4.1</v>
      </c>
      <c r="B25" s="109" t="str">
        <f>Source!G66</f>
        <v>Элементы конструктивные вспомогательного назначения с преобладанием профильного проката с отверстиями</v>
      </c>
      <c r="C25" s="110" t="str">
        <f>Source!H66</f>
        <v>т</v>
      </c>
      <c r="D25" s="111">
        <f>Source!I66</f>
        <v>0.24</v>
      </c>
      <c r="E25" s="109"/>
    </row>
    <row r="26" spans="1:5" ht="28.5">
      <c r="A26" s="108">
        <v>5</v>
      </c>
      <c r="B26" s="109" t="str">
        <f>Source!G68</f>
        <v>Сверление в железобетонных конструкциях вертикальных отверстий глубиной 200 мм диаметром: 20 мм (Применительно)</v>
      </c>
      <c r="C26" s="110" t="str">
        <f>Source!H68</f>
        <v>100 отверстий</v>
      </c>
      <c r="D26" s="111">
        <f>Source!I68</f>
        <v>0.24</v>
      </c>
      <c r="E26" s="109"/>
    </row>
    <row r="27" spans="1:5" ht="14.25">
      <c r="A27" s="108">
        <v>5.1</v>
      </c>
      <c r="B27" s="109" t="str">
        <f>Source!G70</f>
        <v>Бур с ограничителем TE-C-HDA-B 22х155 для анкеров HDA</v>
      </c>
      <c r="C27" s="110" t="str">
        <f>Source!H70</f>
        <v>ШТ</v>
      </c>
      <c r="D27" s="111">
        <f>Source!I70</f>
        <v>2</v>
      </c>
      <c r="E27" s="109"/>
    </row>
    <row r="28" spans="1:5" ht="14.25">
      <c r="A28" s="108">
        <v>6</v>
      </c>
      <c r="B28" s="109" t="str">
        <f>Source!G72</f>
        <v>Установка анкерных болтов: в готовые гнезда с заделкой длиной до 1 м</v>
      </c>
      <c r="C28" s="110" t="str">
        <f>Source!H72</f>
        <v>т</v>
      </c>
      <c r="D28" s="111">
        <f>Source!I72</f>
        <v>0.012</v>
      </c>
      <c r="E28" s="109"/>
    </row>
    <row r="29" spans="1:5" ht="28.5">
      <c r="A29" s="108">
        <v>7</v>
      </c>
      <c r="B29" s="109" t="str">
        <f>Source!G74</f>
        <v>Монтаж перегородок: из алюминиевых сплавов сборно-разборных с остеклением</v>
      </c>
      <c r="C29" s="110" t="str">
        <f>Source!H74</f>
        <v>100 м2</v>
      </c>
      <c r="D29" s="111">
        <f>Source!I74</f>
        <v>0.42</v>
      </c>
      <c r="E29" s="109"/>
    </row>
    <row r="30" spans="1:5" ht="57">
      <c r="A30" s="108">
        <v>7.1</v>
      </c>
      <c r="B30" s="109" t="str">
        <f>Source!G76</f>
        <v>Перегородка из профилей алaлюминиевых Realit RW 64 и Realit RF 50 стойка -ригель,  Стеклопакет энергосберегающий 6зак+20+6 И зак.TopN  внешняя, по каталогу RAL  по согласованию согласно проекта (порошковая покраска)</v>
      </c>
      <c r="C30" s="110" t="str">
        <f>Source!H76</f>
        <v>м2</v>
      </c>
      <c r="D30" s="111">
        <f>Source!I76</f>
        <v>42</v>
      </c>
      <c r="E30" s="109"/>
    </row>
    <row r="31" spans="1:5" ht="14.25">
      <c r="A31" s="108">
        <v>7.2</v>
      </c>
      <c r="B31" s="109" t="str">
        <f>Source!G78</f>
        <v>Монтажные комплектующие</v>
      </c>
      <c r="C31" s="110" t="str">
        <f>Source!H78</f>
        <v>КОМПЛ</v>
      </c>
      <c r="D31" s="111">
        <f>Source!I78</f>
        <v>1</v>
      </c>
      <c r="E31" s="109"/>
    </row>
    <row r="32" spans="1:5" ht="14.25">
      <c r="A32" s="108">
        <v>8</v>
      </c>
      <c r="B32" s="109" t="str">
        <f>Source!G80</f>
        <v>Установка алюминиевых: нащельников</v>
      </c>
      <c r="C32" s="110" t="str">
        <f>Source!H80</f>
        <v>100 м</v>
      </c>
      <c r="D32" s="111">
        <f>Source!I80</f>
        <v>0.72</v>
      </c>
      <c r="E32" s="109"/>
    </row>
    <row r="33" spans="1:5" ht="14.25">
      <c r="A33" s="108">
        <v>8.1</v>
      </c>
      <c r="B33" s="109" t="str">
        <f>Source!G82</f>
        <v>Нащельники и детали примыканий</v>
      </c>
      <c r="C33" s="110" t="str">
        <f>Source!H82</f>
        <v>м</v>
      </c>
      <c r="D33" s="111">
        <f>Source!I82</f>
        <v>72</v>
      </c>
      <c r="E33" s="109"/>
    </row>
    <row r="34" spans="1:5" ht="28.5">
      <c r="A34" s="108">
        <v>9</v>
      </c>
      <c r="B34" s="109" t="str">
        <f>Source!G84</f>
        <v>Установка автоматических раздвижных дверей: одностворчатых, весом створки до 200 кг</v>
      </c>
      <c r="C34" s="110" t="str">
        <f>Source!H84</f>
        <v>КОМПЛ</v>
      </c>
      <c r="D34" s="111">
        <f>Source!I84</f>
        <v>2</v>
      </c>
      <c r="E34" s="109"/>
    </row>
    <row r="35" spans="1:5" ht="114">
      <c r="A35" s="108">
        <v>9.1</v>
      </c>
      <c r="B35" s="109" t="str">
        <f>Source!G86</f>
        <v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AL. Заполнение: стеклопакет 6зак+20+6зак. внешняя.                                          Направляющие нерж. сталь.Панель управления. Радар Eagle. Фотоэлементы. Электромагнитный замок.).</v>
      </c>
      <c r="C35" s="110" t="str">
        <f>Source!H86</f>
        <v>КОМП</v>
      </c>
      <c r="D35" s="111">
        <f>Source!I86</f>
        <v>1</v>
      </c>
      <c r="E35" s="109"/>
    </row>
    <row r="36" spans="1:5" ht="99.75">
      <c r="A36" s="108">
        <v>9.2</v>
      </c>
      <c r="B36" s="109" t="str">
        <f>Source!G88</f>
        <v>Дверь автоматическая 1450*2360 мм (Направляющая балка c шумопоглощающим рельсом, контроллер с функциями самодиагностики и самообучения, редуктор на 24В с оптическим инкодером, зубчатым ремнем.стальными каретками в сборе и декоративным кожухом,  профиль с уплотнением AL LR22В Komaxit A. Заполнение - триплекс 9 мм. Направляющие нерж. сталь.Панель управления. Радар Eagle. Фотоэлементы. Электромагнитный замок.)</v>
      </c>
      <c r="C36" s="110" t="str">
        <f>Source!H88</f>
        <v>КОМП</v>
      </c>
      <c r="D36" s="111">
        <f>Source!I88</f>
        <v>1</v>
      </c>
      <c r="E36" s="109"/>
    </row>
    <row r="37" spans="1:5" ht="28.5">
      <c r="A37" s="108">
        <v>10</v>
      </c>
      <c r="B37" s="109" t="str">
        <f>Source!G90</f>
        <v>Гидроизоляция набухающей самоклеящейся лентой: горизонтальных швов</v>
      </c>
      <c r="C37" s="110" t="str">
        <f>Source!H90</f>
        <v>100 м</v>
      </c>
      <c r="D37" s="111">
        <f>Source!I90</f>
        <v>0.138</v>
      </c>
      <c r="E37" s="109"/>
    </row>
    <row r="38" spans="1:5" ht="28.5">
      <c r="A38" s="108">
        <v>10.1</v>
      </c>
      <c r="B38" s="109" t="str">
        <f>Source!G92</f>
        <v>Лента герметизирующая самоклеящая Герлен-Д шириной: 100 мм толщиной 3 мм</v>
      </c>
      <c r="C38" s="110" t="str">
        <f>Source!H92</f>
        <v>кг</v>
      </c>
      <c r="D38" s="111">
        <f>Source!I92</f>
        <v>5.25</v>
      </c>
      <c r="E38" s="109"/>
    </row>
    <row r="39" spans="1:5" ht="14.25">
      <c r="A39" s="108">
        <v>11</v>
      </c>
      <c r="B39" s="109" t="str">
        <f>Source!G94</f>
        <v>Укладка металлического накладного профиля (порога)</v>
      </c>
      <c r="C39" s="110" t="str">
        <f>Source!H94</f>
        <v>100 м</v>
      </c>
      <c r="D39" s="111">
        <f>Source!I94</f>
        <v>0.03</v>
      </c>
      <c r="E39" s="109"/>
    </row>
    <row r="40" spans="1:5" ht="28.5">
      <c r="A40" s="108">
        <v>11.1</v>
      </c>
      <c r="B40" s="109" t="str">
        <f>Source!G96</f>
        <v>Профили стыкоперекрывающие из алюминиевых сплавов (порожки) с покрытием, шириной 60 мм</v>
      </c>
      <c r="C40" s="110" t="str">
        <f>Source!H96</f>
        <v>м</v>
      </c>
      <c r="D40" s="111">
        <f>Source!I96</f>
        <v>3.15</v>
      </c>
      <c r="E40" s="109"/>
    </row>
    <row r="41" spans="1:5" ht="28.5">
      <c r="A41" s="108">
        <v>12</v>
      </c>
      <c r="B41" s="109" t="str">
        <f>Source!G98</f>
        <v>Установка блоков в наружных и внутренних дверных проемах: в каменных стенах, площадь проема более 3 м2</v>
      </c>
      <c r="C41" s="110" t="str">
        <f>Source!H98</f>
        <v>100 м2</v>
      </c>
      <c r="D41" s="111">
        <f>Source!I98</f>
        <v>0.056</v>
      </c>
      <c r="E41" s="109"/>
    </row>
    <row r="42" spans="1:5" ht="71.25">
      <c r="A42" s="108">
        <v>12.1</v>
      </c>
      <c r="B42" s="109" t="str">
        <f>Source!G100</f>
        <v>Дверной блок светопрозрачный, распашной одностворчатый (1320*2360 мм) из теплого алюминиевого профиля Realit RI 50 и RF 50 с двухкамерным стеклопакетом  6зак+20+6 зак, петли Wala 3 шт на створку, ручка скоба 300-350, замок ключ+ключ стационарный порог 14 мм, EIW15)</v>
      </c>
      <c r="C42" s="110" t="str">
        <f>Source!H100</f>
        <v>КОМП</v>
      </c>
      <c r="D42" s="111">
        <f>Source!I100</f>
        <v>2</v>
      </c>
      <c r="E42" s="109"/>
    </row>
    <row r="43" spans="1:5" ht="14.25">
      <c r="A43" s="108">
        <v>13</v>
      </c>
      <c r="B43" s="109" t="str">
        <f>Source!G102</f>
        <v>Установка: дверного доводчика</v>
      </c>
      <c r="C43" s="110" t="str">
        <f>Source!H102</f>
        <v>100 ШТ</v>
      </c>
      <c r="D43" s="111">
        <f>Source!I102</f>
        <v>0.02</v>
      </c>
      <c r="E43" s="109"/>
    </row>
    <row r="44" spans="1:5" ht="16.5">
      <c r="A44" s="149" t="str">
        <f>CONCATENATE("Раздел: ",Source!G136)</f>
        <v>Раздел: Разные работы</v>
      </c>
      <c r="B44" s="149"/>
      <c r="C44" s="149"/>
      <c r="D44" s="149"/>
      <c r="E44" s="149"/>
    </row>
    <row r="45" spans="1:5" ht="28.5">
      <c r="A45" s="108">
        <v>14</v>
      </c>
      <c r="B45" s="109" t="str">
        <f>Source!G140</f>
        <v>Погрузка при автомобильных перевозках мусора строительного с погрузкой вручную</v>
      </c>
      <c r="C45" s="110" t="str">
        <f>Source!H140</f>
        <v>1 Т ГРУЗА</v>
      </c>
      <c r="D45" s="111">
        <f>Source!I140</f>
        <v>2</v>
      </c>
      <c r="E45" s="109"/>
    </row>
    <row r="46" spans="1:5" ht="28.5">
      <c r="A46" s="104">
        <v>15</v>
      </c>
      <c r="B46" s="105" t="str">
        <f>Source!G142</f>
        <v>Перевозка грузов I класса автомобилями бортовыми грузоподъемностью до 15 т на расстояние до 50 км</v>
      </c>
      <c r="C46" s="106" t="str">
        <f>Source!H142</f>
        <v>1 Т ГРУЗА</v>
      </c>
      <c r="D46" s="107">
        <f>Source!I142</f>
        <v>2</v>
      </c>
      <c r="E46" s="105"/>
    </row>
    <row r="49" spans="1:5" ht="15">
      <c r="A49" s="54" t="s">
        <v>665</v>
      </c>
      <c r="B49" s="54"/>
      <c r="C49" s="54" t="s">
        <v>666</v>
      </c>
      <c r="D49" s="54"/>
      <c r="E49" s="54"/>
    </row>
  </sheetData>
  <sheetProtection/>
  <mergeCells count="7">
    <mergeCell ref="A44:E44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280"/>
  <sheetViews>
    <sheetView zoomScalePageLayoutView="0" workbookViewId="0" topLeftCell="A1">
      <selection activeCell="A276" sqref="A276:AN276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274</v>
      </c>
      <c r="C12" s="1">
        <v>0</v>
      </c>
      <c r="D12" s="1">
        <f>ROW(A210)</f>
        <v>210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403185672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474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B210</f>
        <v>274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работ по замене ограждающих конструкций стен тамбура главного входа ИПУ РАН</v>
      </c>
      <c r="H18" s="3"/>
      <c r="I18" s="3"/>
      <c r="J18" s="3"/>
      <c r="K18" s="3"/>
      <c r="L18" s="3"/>
      <c r="M18" s="3"/>
      <c r="N18" s="3"/>
      <c r="O18" s="3">
        <f aca="true" t="shared" si="1" ref="O18:AT18">O210</f>
        <v>2617399.06</v>
      </c>
      <c r="P18" s="3">
        <f t="shared" si="1"/>
        <v>2613184.26</v>
      </c>
      <c r="Q18" s="3">
        <f t="shared" si="1"/>
        <v>945.32</v>
      </c>
      <c r="R18" s="3">
        <f t="shared" si="1"/>
        <v>110.2</v>
      </c>
      <c r="S18" s="3">
        <f t="shared" si="1"/>
        <v>3269.48</v>
      </c>
      <c r="T18" s="3">
        <f t="shared" si="1"/>
        <v>0</v>
      </c>
      <c r="U18" s="3">
        <f t="shared" si="1"/>
        <v>331.60513999999995</v>
      </c>
      <c r="V18" s="3">
        <f t="shared" si="1"/>
        <v>8.718285</v>
      </c>
      <c r="W18" s="3">
        <f t="shared" si="1"/>
        <v>0</v>
      </c>
      <c r="X18" s="3">
        <f t="shared" si="1"/>
        <v>3162.52</v>
      </c>
      <c r="Y18" s="3">
        <f t="shared" si="1"/>
        <v>1878.88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2622573.76</v>
      </c>
      <c r="AS18" s="3">
        <f t="shared" si="1"/>
        <v>1454576.08</v>
      </c>
      <c r="AT18" s="3">
        <f t="shared" si="1"/>
        <v>1167997.68</v>
      </c>
      <c r="AU18" s="3">
        <f aca="true" t="shared" si="2" ref="AU18:BZ18">AU210</f>
        <v>0</v>
      </c>
      <c r="AV18" s="3">
        <f t="shared" si="2"/>
        <v>2613184.26</v>
      </c>
      <c r="AW18" s="3">
        <f t="shared" si="2"/>
        <v>2613184.26</v>
      </c>
      <c r="AX18" s="3">
        <f t="shared" si="2"/>
        <v>0</v>
      </c>
      <c r="AY18" s="3">
        <f t="shared" si="2"/>
        <v>2613184.26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133.3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CA210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DG210</f>
        <v>2774084.57</v>
      </c>
      <c r="DH18" s="4">
        <f t="shared" si="4"/>
        <v>2639486.28</v>
      </c>
      <c r="DI18" s="4">
        <f t="shared" si="4"/>
        <v>12516.25</v>
      </c>
      <c r="DJ18" s="4">
        <f t="shared" si="4"/>
        <v>4114.58</v>
      </c>
      <c r="DK18" s="4">
        <f t="shared" si="4"/>
        <v>122082.04</v>
      </c>
      <c r="DL18" s="4">
        <f t="shared" si="4"/>
        <v>0</v>
      </c>
      <c r="DM18" s="4">
        <f t="shared" si="4"/>
        <v>331.60513999999995</v>
      </c>
      <c r="DN18" s="4">
        <f t="shared" si="4"/>
        <v>8.718285</v>
      </c>
      <c r="DO18" s="4">
        <f t="shared" si="4"/>
        <v>0</v>
      </c>
      <c r="DP18" s="4">
        <f t="shared" si="4"/>
        <v>118087.68</v>
      </c>
      <c r="DQ18" s="4">
        <f t="shared" si="4"/>
        <v>70156.9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2964094.04</v>
      </c>
      <c r="EK18" s="4">
        <f t="shared" si="4"/>
        <v>1778135.98</v>
      </c>
      <c r="EL18" s="4">
        <f t="shared" si="4"/>
        <v>1185958.06</v>
      </c>
      <c r="EM18" s="4">
        <f aca="true" t="shared" si="5" ref="EM18:FR18">EM210</f>
        <v>0</v>
      </c>
      <c r="EN18" s="4">
        <f t="shared" si="5"/>
        <v>2639486.28</v>
      </c>
      <c r="EO18" s="4">
        <f t="shared" si="5"/>
        <v>2639486.28</v>
      </c>
      <c r="EP18" s="4">
        <f t="shared" si="5"/>
        <v>0</v>
      </c>
      <c r="EQ18" s="4">
        <f t="shared" si="5"/>
        <v>2639486.28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1764.89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FS210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ROW(A176)</f>
        <v>176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19</v>
      </c>
      <c r="AC20" s="1" t="s">
        <v>20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B176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O176</f>
        <v>2617399.06</v>
      </c>
      <c r="P22" s="3">
        <f t="shared" si="8"/>
        <v>2613184.26</v>
      </c>
      <c r="Q22" s="3">
        <f t="shared" si="8"/>
        <v>945.32</v>
      </c>
      <c r="R22" s="3">
        <f t="shared" si="8"/>
        <v>110.2</v>
      </c>
      <c r="S22" s="3">
        <f t="shared" si="8"/>
        <v>3269.48</v>
      </c>
      <c r="T22" s="3">
        <f t="shared" si="8"/>
        <v>0</v>
      </c>
      <c r="U22" s="3">
        <f t="shared" si="8"/>
        <v>331.60513999999995</v>
      </c>
      <c r="V22" s="3">
        <f t="shared" si="8"/>
        <v>8.718285</v>
      </c>
      <c r="W22" s="3">
        <f t="shared" si="8"/>
        <v>0</v>
      </c>
      <c r="X22" s="3">
        <f t="shared" si="8"/>
        <v>3162.52</v>
      </c>
      <c r="Y22" s="3">
        <f t="shared" si="8"/>
        <v>1878.88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2622573.76</v>
      </c>
      <c r="AS22" s="3">
        <f t="shared" si="8"/>
        <v>1454576.08</v>
      </c>
      <c r="AT22" s="3">
        <f t="shared" si="8"/>
        <v>1167997.68</v>
      </c>
      <c r="AU22" s="3">
        <f aca="true" t="shared" si="9" ref="AU22:BZ22">AU176</f>
        <v>0</v>
      </c>
      <c r="AV22" s="3">
        <f t="shared" si="9"/>
        <v>2613184.26</v>
      </c>
      <c r="AW22" s="3">
        <f t="shared" si="9"/>
        <v>2613184.26</v>
      </c>
      <c r="AX22" s="3">
        <f t="shared" si="9"/>
        <v>0</v>
      </c>
      <c r="AY22" s="3">
        <f t="shared" si="9"/>
        <v>2613184.26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133.3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CA176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DG176</f>
        <v>2774084.57</v>
      </c>
      <c r="DH22" s="4">
        <f t="shared" si="11"/>
        <v>2639486.28</v>
      </c>
      <c r="DI22" s="4">
        <f t="shared" si="11"/>
        <v>12516.25</v>
      </c>
      <c r="DJ22" s="4">
        <f t="shared" si="11"/>
        <v>4114.58</v>
      </c>
      <c r="DK22" s="4">
        <f t="shared" si="11"/>
        <v>122082.04</v>
      </c>
      <c r="DL22" s="4">
        <f t="shared" si="11"/>
        <v>0</v>
      </c>
      <c r="DM22" s="4">
        <f t="shared" si="11"/>
        <v>331.60513999999995</v>
      </c>
      <c r="DN22" s="4">
        <f t="shared" si="11"/>
        <v>8.718285</v>
      </c>
      <c r="DO22" s="4">
        <f t="shared" si="11"/>
        <v>0</v>
      </c>
      <c r="DP22" s="4">
        <f t="shared" si="11"/>
        <v>118087.68</v>
      </c>
      <c r="DQ22" s="4">
        <f t="shared" si="11"/>
        <v>70156.9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2964094.04</v>
      </c>
      <c r="EK22" s="4">
        <f t="shared" si="11"/>
        <v>1778135.98</v>
      </c>
      <c r="EL22" s="4">
        <f t="shared" si="11"/>
        <v>1185958.06</v>
      </c>
      <c r="EM22" s="4">
        <f aca="true" t="shared" si="12" ref="EM22:FR22">EM176</f>
        <v>0</v>
      </c>
      <c r="EN22" s="4">
        <f t="shared" si="12"/>
        <v>2639486.28</v>
      </c>
      <c r="EO22" s="4">
        <f t="shared" si="12"/>
        <v>2639486.28</v>
      </c>
      <c r="EP22" s="4">
        <f t="shared" si="12"/>
        <v>0</v>
      </c>
      <c r="EQ22" s="4">
        <f t="shared" si="12"/>
        <v>2639486.28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1764.89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FS176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ROW(A105)</f>
        <v>105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B105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Ремонтные работы</v>
      </c>
      <c r="H26" s="3"/>
      <c r="I26" s="3"/>
      <c r="J26" s="3"/>
      <c r="K26" s="3"/>
      <c r="L26" s="3"/>
      <c r="M26" s="3"/>
      <c r="N26" s="3"/>
      <c r="O26" s="3">
        <f aca="true" t="shared" si="15" ref="O26:AT26">O105</f>
        <v>2617399.06</v>
      </c>
      <c r="P26" s="3">
        <f t="shared" si="15"/>
        <v>2613184.26</v>
      </c>
      <c r="Q26" s="3">
        <f t="shared" si="15"/>
        <v>945.32</v>
      </c>
      <c r="R26" s="3">
        <f t="shared" si="15"/>
        <v>110.2</v>
      </c>
      <c r="S26" s="3">
        <f t="shared" si="15"/>
        <v>3269.48</v>
      </c>
      <c r="T26" s="3">
        <f t="shared" si="15"/>
        <v>0</v>
      </c>
      <c r="U26" s="3">
        <f t="shared" si="15"/>
        <v>331.60513999999995</v>
      </c>
      <c r="V26" s="3">
        <f t="shared" si="15"/>
        <v>8.718285</v>
      </c>
      <c r="W26" s="3">
        <f t="shared" si="15"/>
        <v>0</v>
      </c>
      <c r="X26" s="3">
        <f t="shared" si="15"/>
        <v>3162.52</v>
      </c>
      <c r="Y26" s="3">
        <f t="shared" si="15"/>
        <v>1878.88</v>
      </c>
      <c r="Z26" s="3">
        <f t="shared" si="15"/>
        <v>0</v>
      </c>
      <c r="AA26" s="3">
        <f t="shared" si="15"/>
        <v>0</v>
      </c>
      <c r="AB26" s="3">
        <f t="shared" si="15"/>
        <v>2617399.06</v>
      </c>
      <c r="AC26" s="3">
        <f t="shared" si="15"/>
        <v>2613184.26</v>
      </c>
      <c r="AD26" s="3">
        <f t="shared" si="15"/>
        <v>945.32</v>
      </c>
      <c r="AE26" s="3">
        <f t="shared" si="15"/>
        <v>110.2</v>
      </c>
      <c r="AF26" s="3">
        <f t="shared" si="15"/>
        <v>3269.48</v>
      </c>
      <c r="AG26" s="3">
        <f t="shared" si="15"/>
        <v>0</v>
      </c>
      <c r="AH26" s="3">
        <f t="shared" si="15"/>
        <v>331.60513999999995</v>
      </c>
      <c r="AI26" s="3">
        <f t="shared" si="15"/>
        <v>8.718285</v>
      </c>
      <c r="AJ26" s="3">
        <f t="shared" si="15"/>
        <v>0</v>
      </c>
      <c r="AK26" s="3">
        <f t="shared" si="15"/>
        <v>3162.52</v>
      </c>
      <c r="AL26" s="3">
        <f t="shared" si="15"/>
        <v>1878.88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2622440.46</v>
      </c>
      <c r="AS26" s="3">
        <f t="shared" si="15"/>
        <v>1454442.78</v>
      </c>
      <c r="AT26" s="3">
        <f t="shared" si="15"/>
        <v>1167997.68</v>
      </c>
      <c r="AU26" s="3">
        <f aca="true" t="shared" si="16" ref="AU26:BZ26">AU105</f>
        <v>0</v>
      </c>
      <c r="AV26" s="3">
        <f t="shared" si="16"/>
        <v>2613184.26</v>
      </c>
      <c r="AW26" s="3">
        <f t="shared" si="16"/>
        <v>2613184.26</v>
      </c>
      <c r="AX26" s="3">
        <f t="shared" si="16"/>
        <v>0</v>
      </c>
      <c r="AY26" s="3">
        <f t="shared" si="16"/>
        <v>2613184.26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CA105</f>
        <v>2622440.46</v>
      </c>
      <c r="CB26" s="3">
        <f t="shared" si="17"/>
        <v>1454442.78</v>
      </c>
      <c r="CC26" s="3">
        <f t="shared" si="17"/>
        <v>1167997.68</v>
      </c>
      <c r="CD26" s="3">
        <f t="shared" si="17"/>
        <v>0</v>
      </c>
      <c r="CE26" s="3">
        <f t="shared" si="17"/>
        <v>2613184.26</v>
      </c>
      <c r="CF26" s="3">
        <f t="shared" si="17"/>
        <v>2613184.26</v>
      </c>
      <c r="CG26" s="3">
        <f t="shared" si="17"/>
        <v>0</v>
      </c>
      <c r="CH26" s="3">
        <f t="shared" si="17"/>
        <v>2613184.26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DG105</f>
        <v>2774084.57</v>
      </c>
      <c r="DH26" s="4">
        <f t="shared" si="18"/>
        <v>2639486.28</v>
      </c>
      <c r="DI26" s="4">
        <f t="shared" si="18"/>
        <v>12516.25</v>
      </c>
      <c r="DJ26" s="4">
        <f t="shared" si="18"/>
        <v>4114.58</v>
      </c>
      <c r="DK26" s="4">
        <f t="shared" si="18"/>
        <v>122082.04</v>
      </c>
      <c r="DL26" s="4">
        <f t="shared" si="18"/>
        <v>0</v>
      </c>
      <c r="DM26" s="4">
        <f t="shared" si="18"/>
        <v>331.60513999999995</v>
      </c>
      <c r="DN26" s="4">
        <f t="shared" si="18"/>
        <v>8.718285</v>
      </c>
      <c r="DO26" s="4">
        <f t="shared" si="18"/>
        <v>0</v>
      </c>
      <c r="DP26" s="4">
        <f t="shared" si="18"/>
        <v>118087.68</v>
      </c>
      <c r="DQ26" s="4">
        <f t="shared" si="18"/>
        <v>70156.9</v>
      </c>
      <c r="DR26" s="4">
        <f t="shared" si="18"/>
        <v>0</v>
      </c>
      <c r="DS26" s="4">
        <f t="shared" si="18"/>
        <v>0</v>
      </c>
      <c r="DT26" s="4">
        <f t="shared" si="18"/>
        <v>2774084.57</v>
      </c>
      <c r="DU26" s="4">
        <f t="shared" si="18"/>
        <v>2639486.28</v>
      </c>
      <c r="DV26" s="4">
        <f t="shared" si="18"/>
        <v>12516.25</v>
      </c>
      <c r="DW26" s="4">
        <f t="shared" si="18"/>
        <v>4114.58</v>
      </c>
      <c r="DX26" s="4">
        <f t="shared" si="18"/>
        <v>122082.04</v>
      </c>
      <c r="DY26" s="4">
        <f t="shared" si="18"/>
        <v>0</v>
      </c>
      <c r="DZ26" s="4">
        <f t="shared" si="18"/>
        <v>331.60513999999995</v>
      </c>
      <c r="EA26" s="4">
        <f t="shared" si="18"/>
        <v>8.718285</v>
      </c>
      <c r="EB26" s="4">
        <f t="shared" si="18"/>
        <v>0</v>
      </c>
      <c r="EC26" s="4">
        <f t="shared" si="18"/>
        <v>118087.68</v>
      </c>
      <c r="ED26" s="4">
        <f t="shared" si="18"/>
        <v>70156.9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2962329.15</v>
      </c>
      <c r="EK26" s="4">
        <f t="shared" si="18"/>
        <v>1776371.09</v>
      </c>
      <c r="EL26" s="4">
        <f t="shared" si="18"/>
        <v>1185958.06</v>
      </c>
      <c r="EM26" s="4">
        <f aca="true" t="shared" si="19" ref="EM26:FR26">EM105</f>
        <v>0</v>
      </c>
      <c r="EN26" s="4">
        <f t="shared" si="19"/>
        <v>2639486.28</v>
      </c>
      <c r="EO26" s="4">
        <f t="shared" si="19"/>
        <v>2639486.28</v>
      </c>
      <c r="EP26" s="4">
        <f t="shared" si="19"/>
        <v>0</v>
      </c>
      <c r="EQ26" s="4">
        <f t="shared" si="19"/>
        <v>2639486.28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FS105</f>
        <v>2962329.15</v>
      </c>
      <c r="FT26" s="4">
        <f t="shared" si="20"/>
        <v>1776371.09</v>
      </c>
      <c r="FU26" s="4">
        <f t="shared" si="20"/>
        <v>1185958.06</v>
      </c>
      <c r="FV26" s="4">
        <f t="shared" si="20"/>
        <v>0</v>
      </c>
      <c r="FW26" s="4">
        <f t="shared" si="20"/>
        <v>2639486.28</v>
      </c>
      <c r="FX26" s="4">
        <f t="shared" si="20"/>
        <v>2639486.28</v>
      </c>
      <c r="FY26" s="4">
        <f t="shared" si="20"/>
        <v>0</v>
      </c>
      <c r="FZ26" s="4">
        <f t="shared" si="20"/>
        <v>2639486.28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ROW(SmtRes!A9)</f>
        <v>9</v>
      </c>
      <c r="D28" s="2">
        <f>ROW(EtalonRes!A13)</f>
        <v>13</v>
      </c>
      <c r="E28" s="2" t="s">
        <v>23</v>
      </c>
      <c r="F28" s="2" t="s">
        <v>24</v>
      </c>
      <c r="G28" s="2" t="s">
        <v>25</v>
      </c>
      <c r="H28" s="2" t="s">
        <v>26</v>
      </c>
      <c r="I28" s="2">
        <f>ROUND(54/100,7)</f>
        <v>0.54</v>
      </c>
      <c r="J28" s="2">
        <v>0</v>
      </c>
      <c r="K28" s="2">
        <f>ROUND(54/100,7)</f>
        <v>0.54</v>
      </c>
      <c r="L28" s="2"/>
      <c r="M28" s="2"/>
      <c r="N28" s="2"/>
      <c r="O28" s="2">
        <f aca="true" t="shared" si="21" ref="O28:O59">ROUND(CP28,2)</f>
        <v>1350.62</v>
      </c>
      <c r="P28" s="2">
        <f aca="true" t="shared" si="22" ref="P28:P59">ROUND(CQ28*I28,2)</f>
        <v>0</v>
      </c>
      <c r="Q28" s="2">
        <f aca="true" t="shared" si="23" ref="Q28:Q59">ROUND(CR28*I28,2)</f>
        <v>217.42</v>
      </c>
      <c r="R28" s="2">
        <f aca="true" t="shared" si="24" ref="R28:R59">ROUND(CS28*I28,2)</f>
        <v>12.46</v>
      </c>
      <c r="S28" s="2">
        <f aca="true" t="shared" si="25" ref="S28:S59">ROUND(CT28*I28,2)</f>
        <v>1133.2</v>
      </c>
      <c r="T28" s="2">
        <f aca="true" t="shared" si="26" ref="T28:T59">ROUND(CU28*I28,2)</f>
        <v>0</v>
      </c>
      <c r="U28" s="2">
        <f aca="true" t="shared" si="27" ref="U28:U59">CV28*I28</f>
        <v>112.644</v>
      </c>
      <c r="V28" s="2">
        <f aca="true" t="shared" si="28" ref="V28:V59">CW28*I28</f>
        <v>0.93744</v>
      </c>
      <c r="W28" s="2">
        <f aca="true" t="shared" si="29" ref="W28:W59">ROUND(CX28*I28,2)</f>
        <v>0</v>
      </c>
      <c r="X28" s="2">
        <f aca="true" t="shared" si="30" ref="X28:X59">ROUND(CY28,2)</f>
        <v>1065.46</v>
      </c>
      <c r="Y28" s="2">
        <f aca="true" t="shared" si="31" ref="Y28:Y59">ROUND(CZ28,2)</f>
        <v>710.31</v>
      </c>
      <c r="Z28" s="2"/>
      <c r="AA28" s="2">
        <v>55656218</v>
      </c>
      <c r="AB28" s="2">
        <f aca="true" t="shared" si="32" ref="AB28:AB59">ROUND((AC28+AD28+AF28),2)</f>
        <v>2501.16</v>
      </c>
      <c r="AC28" s="2">
        <f>ROUND(((ES28*ROUND(0,7))),2)</f>
        <v>0</v>
      </c>
      <c r="AD28" s="2">
        <f>ROUND(((((ET28*ROUND(0.7,7)))-((EU28*ROUND(0.7,7))))+AE28),2)</f>
        <v>402.64</v>
      </c>
      <c r="AE28" s="2">
        <f aca="true" t="shared" si="33" ref="AE28:AF31">ROUND(((EU28*ROUND(0.7,7))),2)</f>
        <v>23.07</v>
      </c>
      <c r="AF28" s="2">
        <f t="shared" si="33"/>
        <v>2098.52</v>
      </c>
      <c r="AG28" s="2">
        <f aca="true" t="shared" si="34" ref="AG28:AG59">ROUND((AP28),2)</f>
        <v>0</v>
      </c>
      <c r="AH28" s="2">
        <f aca="true" t="shared" si="35" ref="AH28:AI31">((EW28*ROUND(0.7,7)))</f>
        <v>208.6</v>
      </c>
      <c r="AI28" s="2">
        <f t="shared" si="35"/>
        <v>1.736</v>
      </c>
      <c r="AJ28" s="2">
        <f aca="true" t="shared" si="36" ref="AJ28:AJ59">(AS28)</f>
        <v>0</v>
      </c>
      <c r="AK28" s="2">
        <v>3848.95</v>
      </c>
      <c r="AL28" s="2">
        <v>275.88</v>
      </c>
      <c r="AM28" s="2">
        <v>575.19</v>
      </c>
      <c r="AN28" s="2">
        <v>32.95</v>
      </c>
      <c r="AO28" s="2">
        <v>2997.88</v>
      </c>
      <c r="AP28" s="2">
        <v>0</v>
      </c>
      <c r="AQ28" s="2">
        <v>298</v>
      </c>
      <c r="AR28" s="2">
        <v>2.48</v>
      </c>
      <c r="AS28" s="2">
        <v>0</v>
      </c>
      <c r="AT28" s="2">
        <v>93</v>
      </c>
      <c r="AU28" s="2">
        <v>62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27</v>
      </c>
      <c r="BK28" s="2"/>
      <c r="BL28" s="2"/>
      <c r="BM28" s="2">
        <v>9001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93</v>
      </c>
      <c r="CA28" s="2">
        <v>62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28</v>
      </c>
      <c r="CO28" s="2">
        <v>0</v>
      </c>
      <c r="CP28" s="2">
        <f aca="true" t="shared" si="37" ref="CP28:CP59">(P28+Q28+S28)</f>
        <v>1350.6200000000001</v>
      </c>
      <c r="CQ28" s="2">
        <f aca="true" t="shared" si="38" ref="CQ28:CQ59">AC28*BC28</f>
        <v>0</v>
      </c>
      <c r="CR28" s="2">
        <f>((((ET28*ROUND(0.7,7)))*BB28-((EU28*ROUND(0.7,7)))*BS28)+AE28*BS28)</f>
        <v>402.63800000000003</v>
      </c>
      <c r="CS28" s="2">
        <f aca="true" t="shared" si="39" ref="CS28:CS59">AE28*BS28</f>
        <v>23.07</v>
      </c>
      <c r="CT28" s="2">
        <f aca="true" t="shared" si="40" ref="CT28:CT59">AF28*BA28</f>
        <v>2098.52</v>
      </c>
      <c r="CU28" s="2">
        <f aca="true" t="shared" si="41" ref="CU28:CU59">AG28</f>
        <v>0</v>
      </c>
      <c r="CV28" s="2">
        <f aca="true" t="shared" si="42" ref="CV28:CV59">AH28</f>
        <v>208.6</v>
      </c>
      <c r="CW28" s="2">
        <f aca="true" t="shared" si="43" ref="CW28:CW59">AI28</f>
        <v>1.736</v>
      </c>
      <c r="CX28" s="2">
        <f aca="true" t="shared" si="44" ref="CX28:CX59">AJ28</f>
        <v>0</v>
      </c>
      <c r="CY28" s="2">
        <f aca="true" t="shared" si="45" ref="CY28:CY59">(((S28+R28)*AT28)/100)</f>
        <v>1065.4638</v>
      </c>
      <c r="CZ28" s="2">
        <f aca="true" t="shared" si="46" ref="CZ28:CZ59">(((S28+R28)*AU28)/100)</f>
        <v>710.3092</v>
      </c>
      <c r="DA28" s="2"/>
      <c r="DB28" s="2"/>
      <c r="DC28" s="2" t="s">
        <v>3</v>
      </c>
      <c r="DD28" s="2" t="s">
        <v>29</v>
      </c>
      <c r="DE28" s="2" t="s">
        <v>30</v>
      </c>
      <c r="DF28" s="2" t="s">
        <v>30</v>
      </c>
      <c r="DG28" s="2" t="s">
        <v>30</v>
      </c>
      <c r="DH28" s="2" t="s">
        <v>3</v>
      </c>
      <c r="DI28" s="2" t="s">
        <v>30</v>
      </c>
      <c r="DJ28" s="2" t="s">
        <v>30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26</v>
      </c>
      <c r="DW28" s="2" t="s">
        <v>26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55471659</v>
      </c>
      <c r="EF28" s="2">
        <v>2</v>
      </c>
      <c r="EG28" s="2" t="s">
        <v>31</v>
      </c>
      <c r="EH28" s="2">
        <v>9</v>
      </c>
      <c r="EI28" s="2" t="s">
        <v>32</v>
      </c>
      <c r="EJ28" s="2">
        <v>1</v>
      </c>
      <c r="EK28" s="2">
        <v>9001</v>
      </c>
      <c r="EL28" s="2" t="s">
        <v>32</v>
      </c>
      <c r="EM28" s="2" t="s">
        <v>33</v>
      </c>
      <c r="EN28" s="2"/>
      <c r="EO28" s="2" t="s">
        <v>34</v>
      </c>
      <c r="EP28" s="2"/>
      <c r="EQ28" s="2">
        <v>0</v>
      </c>
      <c r="ER28" s="2">
        <v>3848.95</v>
      </c>
      <c r="ES28" s="2">
        <v>275.88</v>
      </c>
      <c r="ET28" s="2">
        <v>575.19</v>
      </c>
      <c r="EU28" s="2">
        <v>32.95</v>
      </c>
      <c r="EV28" s="2">
        <v>2997.88</v>
      </c>
      <c r="EW28" s="2">
        <v>298</v>
      </c>
      <c r="EX28" s="2">
        <v>2.48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7" ref="FR28:FR59">ROUND(IF(AND(BH28=3,BI28=3),P28,0),2)</f>
        <v>0</v>
      </c>
      <c r="FS28" s="2">
        <v>0</v>
      </c>
      <c r="FT28" s="2"/>
      <c r="FU28" s="2"/>
      <c r="FV28" s="2"/>
      <c r="FW28" s="2"/>
      <c r="FX28" s="2">
        <v>93</v>
      </c>
      <c r="FY28" s="2">
        <v>62</v>
      </c>
      <c r="FZ28" s="2"/>
      <c r="GA28" s="2" t="s">
        <v>3</v>
      </c>
      <c r="GB28" s="2"/>
      <c r="GC28" s="2"/>
      <c r="GD28" s="2">
        <v>1</v>
      </c>
      <c r="GE28" s="2"/>
      <c r="GF28" s="2">
        <v>-1752699679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48" ref="GL28:GL59">ROUND(IF(AND(BH28=3,BI28=3,FS28&lt;&gt;0),P28,0),2)</f>
        <v>0</v>
      </c>
      <c r="GM28" s="2">
        <f aca="true" t="shared" si="49" ref="GM28:GM59">ROUND(O28+X28+Y28,2)+GX28</f>
        <v>3126.39</v>
      </c>
      <c r="GN28" s="2">
        <f aca="true" t="shared" si="50" ref="GN28:GN59">IF(OR(BI28=0,BI28=1),ROUND(O28+X28+Y28,2),0)</f>
        <v>3126.39</v>
      </c>
      <c r="GO28" s="2">
        <f aca="true" t="shared" si="51" ref="GO28:GO59">IF(BI28=2,ROUND(O28+X28+Y28,2),0)</f>
        <v>0</v>
      </c>
      <c r="GP28" s="2">
        <f aca="true" t="shared" si="52" ref="GP28:GP59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3" ref="GV28:GV59">ROUND((GT28),2)</f>
        <v>0</v>
      </c>
      <c r="GW28" s="2">
        <v>1</v>
      </c>
      <c r="GX28" s="2">
        <f aca="true" t="shared" si="54" ref="GX28:GX59">ROUND(HC28*I28,2)</f>
        <v>0</v>
      </c>
      <c r="GY28" s="2"/>
      <c r="GZ28" s="2"/>
      <c r="HA28" s="2">
        <v>0</v>
      </c>
      <c r="HB28" s="2">
        <v>0</v>
      </c>
      <c r="HC28" s="2">
        <f aca="true" t="shared" si="55" ref="HC28:HC59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35</v>
      </c>
      <c r="HO28" s="2" t="s">
        <v>36</v>
      </c>
      <c r="HP28" s="2" t="s">
        <v>32</v>
      </c>
      <c r="HQ28" s="2" t="s">
        <v>32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ROW(SmtRes!A18)</f>
        <v>18</v>
      </c>
      <c r="D29">
        <f>ROW(EtalonRes!A26)</f>
        <v>26</v>
      </c>
      <c r="E29" t="s">
        <v>23</v>
      </c>
      <c r="F29" t="s">
        <v>24</v>
      </c>
      <c r="G29" t="s">
        <v>25</v>
      </c>
      <c r="H29" t="s">
        <v>26</v>
      </c>
      <c r="I29">
        <f>ROUND(54/100,7)</f>
        <v>0.54</v>
      </c>
      <c r="J29">
        <v>0</v>
      </c>
      <c r="K29">
        <f>ROUND(54/100,7)</f>
        <v>0.54</v>
      </c>
      <c r="O29">
        <f t="shared" si="21"/>
        <v>45192.49</v>
      </c>
      <c r="P29">
        <f t="shared" si="22"/>
        <v>0</v>
      </c>
      <c r="Q29">
        <f t="shared" si="23"/>
        <v>2878.77</v>
      </c>
      <c r="R29">
        <f t="shared" si="24"/>
        <v>465.17</v>
      </c>
      <c r="S29">
        <f t="shared" si="25"/>
        <v>42313.72</v>
      </c>
      <c r="T29">
        <f t="shared" si="26"/>
        <v>0</v>
      </c>
      <c r="U29">
        <f t="shared" si="27"/>
        <v>112.644</v>
      </c>
      <c r="V29">
        <f t="shared" si="28"/>
        <v>0.93744</v>
      </c>
      <c r="W29">
        <f t="shared" si="29"/>
        <v>0</v>
      </c>
      <c r="X29">
        <f t="shared" si="30"/>
        <v>39784.37</v>
      </c>
      <c r="Y29">
        <f t="shared" si="31"/>
        <v>26522.91</v>
      </c>
      <c r="AA29">
        <v>55657272</v>
      </c>
      <c r="AB29">
        <f t="shared" si="32"/>
        <v>2501.16</v>
      </c>
      <c r="AC29">
        <f>ROUND(((ES29*ROUND(0,7))),2)</f>
        <v>0</v>
      </c>
      <c r="AD29">
        <f>ROUND(((((ET29*ROUND(0.7,7)))-((EU29*ROUND(0.7,7))))+AE29),2)</f>
        <v>402.64</v>
      </c>
      <c r="AE29">
        <f t="shared" si="33"/>
        <v>23.07</v>
      </c>
      <c r="AF29">
        <f t="shared" si="33"/>
        <v>2098.52</v>
      </c>
      <c r="AG29">
        <f t="shared" si="34"/>
        <v>0</v>
      </c>
      <c r="AH29">
        <f t="shared" si="35"/>
        <v>208.6</v>
      </c>
      <c r="AI29">
        <f t="shared" si="35"/>
        <v>1.736</v>
      </c>
      <c r="AJ29">
        <f t="shared" si="36"/>
        <v>0</v>
      </c>
      <c r="AK29">
        <v>3848.95</v>
      </c>
      <c r="AL29">
        <v>275.88</v>
      </c>
      <c r="AM29">
        <v>575.19</v>
      </c>
      <c r="AN29">
        <v>32.95</v>
      </c>
      <c r="AO29">
        <v>2997.88</v>
      </c>
      <c r="AP29">
        <v>0</v>
      </c>
      <c r="AQ29">
        <v>298</v>
      </c>
      <c r="AR29">
        <v>2.48</v>
      </c>
      <c r="AS29">
        <v>0</v>
      </c>
      <c r="AT29">
        <v>93</v>
      </c>
      <c r="AU29">
        <v>62</v>
      </c>
      <c r="AV29">
        <v>1</v>
      </c>
      <c r="AW29">
        <v>1</v>
      </c>
      <c r="AZ29">
        <v>1</v>
      </c>
      <c r="BA29">
        <v>37.34</v>
      </c>
      <c r="BB29">
        <v>13.24</v>
      </c>
      <c r="BC29">
        <v>6.72</v>
      </c>
      <c r="BH29">
        <v>0</v>
      </c>
      <c r="BI29">
        <v>1</v>
      </c>
      <c r="BJ29" t="s">
        <v>27</v>
      </c>
      <c r="BM29">
        <v>9001</v>
      </c>
      <c r="BN29">
        <v>0</v>
      </c>
      <c r="BO29" t="s">
        <v>37</v>
      </c>
      <c r="BP29">
        <v>1</v>
      </c>
      <c r="BQ29">
        <v>2</v>
      </c>
      <c r="BR29">
        <v>0</v>
      </c>
      <c r="BS29">
        <v>37.34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93</v>
      </c>
      <c r="CA29">
        <v>62</v>
      </c>
      <c r="CE29">
        <v>0</v>
      </c>
      <c r="CF29">
        <v>0</v>
      </c>
      <c r="CG29">
        <v>0</v>
      </c>
      <c r="CM29">
        <v>0</v>
      </c>
      <c r="CN29" t="s">
        <v>28</v>
      </c>
      <c r="CO29">
        <v>0</v>
      </c>
      <c r="CP29">
        <f t="shared" si="37"/>
        <v>45192.49</v>
      </c>
      <c r="CQ29">
        <f t="shared" si="38"/>
        <v>0</v>
      </c>
      <c r="CR29">
        <f>((((ET29*ROUND(0.7,7)))*BB29-((EU29*ROUND(0.7,7)))*BS29)+AE29*BS29)</f>
        <v>5331.04762</v>
      </c>
      <c r="CS29">
        <f t="shared" si="39"/>
        <v>861.4338000000001</v>
      </c>
      <c r="CT29">
        <f t="shared" si="40"/>
        <v>78358.73680000001</v>
      </c>
      <c r="CU29">
        <f t="shared" si="41"/>
        <v>0</v>
      </c>
      <c r="CV29">
        <f t="shared" si="42"/>
        <v>208.6</v>
      </c>
      <c r="CW29">
        <f t="shared" si="43"/>
        <v>1.736</v>
      </c>
      <c r="CX29">
        <f t="shared" si="44"/>
        <v>0</v>
      </c>
      <c r="CY29">
        <f t="shared" si="45"/>
        <v>39784.3677</v>
      </c>
      <c r="CZ29">
        <f t="shared" si="46"/>
        <v>26522.9118</v>
      </c>
      <c r="DD29" t="s">
        <v>29</v>
      </c>
      <c r="DE29" t="s">
        <v>30</v>
      </c>
      <c r="DF29" t="s">
        <v>30</v>
      </c>
      <c r="DG29" t="s">
        <v>30</v>
      </c>
      <c r="DI29" t="s">
        <v>30</v>
      </c>
      <c r="DJ29" t="s">
        <v>30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26</v>
      </c>
      <c r="DW29" t="s">
        <v>26</v>
      </c>
      <c r="DX29">
        <v>100</v>
      </c>
      <c r="EE29">
        <v>55471659</v>
      </c>
      <c r="EF29">
        <v>2</v>
      </c>
      <c r="EG29" t="s">
        <v>31</v>
      </c>
      <c r="EH29">
        <v>9</v>
      </c>
      <c r="EI29" t="s">
        <v>32</v>
      </c>
      <c r="EJ29">
        <v>1</v>
      </c>
      <c r="EK29">
        <v>9001</v>
      </c>
      <c r="EL29" t="s">
        <v>32</v>
      </c>
      <c r="EM29" t="s">
        <v>33</v>
      </c>
      <c r="EO29" t="s">
        <v>34</v>
      </c>
      <c r="EQ29">
        <v>0</v>
      </c>
      <c r="ER29">
        <v>3848.95</v>
      </c>
      <c r="ES29">
        <v>275.88</v>
      </c>
      <c r="ET29">
        <v>575.19</v>
      </c>
      <c r="EU29">
        <v>32.95</v>
      </c>
      <c r="EV29">
        <v>2997.88</v>
      </c>
      <c r="EW29">
        <v>298</v>
      </c>
      <c r="EX29">
        <v>2.48</v>
      </c>
      <c r="EY29">
        <v>0</v>
      </c>
      <c r="FQ29">
        <v>0</v>
      </c>
      <c r="FR29">
        <f t="shared" si="47"/>
        <v>0</v>
      </c>
      <c r="FS29">
        <v>0</v>
      </c>
      <c r="FX29">
        <v>93</v>
      </c>
      <c r="FY29">
        <v>62</v>
      </c>
      <c r="GD29">
        <v>1</v>
      </c>
      <c r="GF29">
        <v>-1752699679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8"/>
        <v>0</v>
      </c>
      <c r="GM29">
        <f t="shared" si="49"/>
        <v>111499.77</v>
      </c>
      <c r="GN29">
        <f t="shared" si="50"/>
        <v>111499.77</v>
      </c>
      <c r="GO29">
        <f t="shared" si="51"/>
        <v>0</v>
      </c>
      <c r="GP29">
        <f t="shared" si="52"/>
        <v>0</v>
      </c>
      <c r="GR29">
        <v>0</v>
      </c>
      <c r="GS29">
        <v>3</v>
      </c>
      <c r="GT29">
        <v>0</v>
      </c>
      <c r="GV29">
        <f t="shared" si="53"/>
        <v>0</v>
      </c>
      <c r="GW29">
        <v>1</v>
      </c>
      <c r="GX29">
        <f t="shared" si="54"/>
        <v>0</v>
      </c>
      <c r="HA29">
        <v>0</v>
      </c>
      <c r="HB29">
        <v>0</v>
      </c>
      <c r="HC29">
        <f t="shared" si="55"/>
        <v>0</v>
      </c>
      <c r="HN29" t="s">
        <v>35</v>
      </c>
      <c r="HO29" t="s">
        <v>36</v>
      </c>
      <c r="HP29" t="s">
        <v>32</v>
      </c>
      <c r="HQ29" t="s">
        <v>32</v>
      </c>
      <c r="IK29">
        <v>0</v>
      </c>
    </row>
    <row r="30" spans="1:255" ht="12.75">
      <c r="A30" s="2">
        <v>17</v>
      </c>
      <c r="B30" s="2">
        <v>1</v>
      </c>
      <c r="C30" s="2">
        <f>ROW(SmtRes!A39)</f>
        <v>39</v>
      </c>
      <c r="D30" s="2">
        <f>ROW(EtalonRes!A48)</f>
        <v>48</v>
      </c>
      <c r="E30" s="2" t="s">
        <v>38</v>
      </c>
      <c r="F30" s="2" t="s">
        <v>39</v>
      </c>
      <c r="G30" s="2" t="s">
        <v>40</v>
      </c>
      <c r="H30" s="2" t="s">
        <v>41</v>
      </c>
      <c r="I30" s="2">
        <v>0.2</v>
      </c>
      <c r="J30" s="2">
        <v>0</v>
      </c>
      <c r="K30" s="2">
        <v>0.2</v>
      </c>
      <c r="L30" s="2"/>
      <c r="M30" s="2"/>
      <c r="N30" s="2"/>
      <c r="O30" s="2">
        <f t="shared" si="21"/>
        <v>87.77</v>
      </c>
      <c r="P30" s="2">
        <f t="shared" si="22"/>
        <v>0</v>
      </c>
      <c r="Q30" s="2">
        <f t="shared" si="23"/>
        <v>65.47</v>
      </c>
      <c r="R30" s="2">
        <f t="shared" si="24"/>
        <v>6</v>
      </c>
      <c r="S30" s="2">
        <f t="shared" si="25"/>
        <v>22.3</v>
      </c>
      <c r="T30" s="2">
        <f t="shared" si="26"/>
        <v>0</v>
      </c>
      <c r="U30" s="2">
        <f t="shared" si="27"/>
        <v>2.184</v>
      </c>
      <c r="V30" s="2">
        <f t="shared" si="28"/>
        <v>0.4032</v>
      </c>
      <c r="W30" s="2">
        <f t="shared" si="29"/>
        <v>0</v>
      </c>
      <c r="X30" s="2">
        <f t="shared" si="30"/>
        <v>26.32</v>
      </c>
      <c r="Y30" s="2">
        <f t="shared" si="31"/>
        <v>17.55</v>
      </c>
      <c r="Z30" s="2"/>
      <c r="AA30" s="2">
        <v>55656218</v>
      </c>
      <c r="AB30" s="2">
        <f t="shared" si="32"/>
        <v>438.87</v>
      </c>
      <c r="AC30" s="2">
        <f>ROUND(((ES30*ROUND(0,7))),2)</f>
        <v>0</v>
      </c>
      <c r="AD30" s="2">
        <f>ROUND(((((ET30*ROUND(0.7,7)))-((EU30*ROUND(0.7,7))))+AE30),2)</f>
        <v>327.37</v>
      </c>
      <c r="AE30" s="2">
        <f t="shared" si="33"/>
        <v>29.99</v>
      </c>
      <c r="AF30" s="2">
        <f t="shared" si="33"/>
        <v>111.5</v>
      </c>
      <c r="AG30" s="2">
        <f t="shared" si="34"/>
        <v>0</v>
      </c>
      <c r="AH30" s="2">
        <f t="shared" si="35"/>
        <v>10.92</v>
      </c>
      <c r="AI30" s="2">
        <f t="shared" si="35"/>
        <v>2.016</v>
      </c>
      <c r="AJ30" s="2">
        <f t="shared" si="36"/>
        <v>0</v>
      </c>
      <c r="AK30" s="2">
        <v>733.29</v>
      </c>
      <c r="AL30" s="2">
        <v>106.34</v>
      </c>
      <c r="AM30" s="2">
        <v>467.67</v>
      </c>
      <c r="AN30" s="2">
        <v>42.84</v>
      </c>
      <c r="AO30" s="2">
        <v>159.28</v>
      </c>
      <c r="AP30" s="2">
        <v>0</v>
      </c>
      <c r="AQ30" s="2">
        <v>15.6</v>
      </c>
      <c r="AR30" s="2">
        <v>2.88</v>
      </c>
      <c r="AS30" s="2">
        <v>0</v>
      </c>
      <c r="AT30" s="2">
        <v>93</v>
      </c>
      <c r="AU30" s="2">
        <v>62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42</v>
      </c>
      <c r="BK30" s="2"/>
      <c r="BL30" s="2"/>
      <c r="BM30" s="2">
        <v>9001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93</v>
      </c>
      <c r="CA30" s="2">
        <v>62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28</v>
      </c>
      <c r="CO30" s="2">
        <v>0</v>
      </c>
      <c r="CP30" s="2">
        <f t="shared" si="37"/>
        <v>87.77</v>
      </c>
      <c r="CQ30" s="2">
        <f t="shared" si="38"/>
        <v>0</v>
      </c>
      <c r="CR30" s="2">
        <f>((((ET30*ROUND(0.7,7)))*BB30-((EU30*ROUND(0.7,7)))*BS30)+AE30*BS30)</f>
        <v>327.371</v>
      </c>
      <c r="CS30" s="2">
        <f t="shared" si="39"/>
        <v>29.99</v>
      </c>
      <c r="CT30" s="2">
        <f t="shared" si="40"/>
        <v>111.5</v>
      </c>
      <c r="CU30" s="2">
        <f t="shared" si="41"/>
        <v>0</v>
      </c>
      <c r="CV30" s="2">
        <f t="shared" si="42"/>
        <v>10.92</v>
      </c>
      <c r="CW30" s="2">
        <f t="shared" si="43"/>
        <v>2.016</v>
      </c>
      <c r="CX30" s="2">
        <f t="shared" si="44"/>
        <v>0</v>
      </c>
      <c r="CY30" s="2">
        <f t="shared" si="45"/>
        <v>26.319000000000003</v>
      </c>
      <c r="CZ30" s="2">
        <f t="shared" si="46"/>
        <v>17.546000000000003</v>
      </c>
      <c r="DA30" s="2"/>
      <c r="DB30" s="2"/>
      <c r="DC30" s="2" t="s">
        <v>3</v>
      </c>
      <c r="DD30" s="2" t="s">
        <v>29</v>
      </c>
      <c r="DE30" s="2" t="s">
        <v>30</v>
      </c>
      <c r="DF30" s="2" t="s">
        <v>30</v>
      </c>
      <c r="DG30" s="2" t="s">
        <v>30</v>
      </c>
      <c r="DH30" s="2" t="s">
        <v>3</v>
      </c>
      <c r="DI30" s="2" t="s">
        <v>30</v>
      </c>
      <c r="DJ30" s="2" t="s">
        <v>30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1009</v>
      </c>
      <c r="DV30" s="2" t="s">
        <v>41</v>
      </c>
      <c r="DW30" s="2" t="s">
        <v>41</v>
      </c>
      <c r="DX30" s="2">
        <v>1000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55471659</v>
      </c>
      <c r="EF30" s="2">
        <v>2</v>
      </c>
      <c r="EG30" s="2" t="s">
        <v>31</v>
      </c>
      <c r="EH30" s="2">
        <v>9</v>
      </c>
      <c r="EI30" s="2" t="s">
        <v>32</v>
      </c>
      <c r="EJ30" s="2">
        <v>1</v>
      </c>
      <c r="EK30" s="2">
        <v>9001</v>
      </c>
      <c r="EL30" s="2" t="s">
        <v>32</v>
      </c>
      <c r="EM30" s="2" t="s">
        <v>33</v>
      </c>
      <c r="EN30" s="2"/>
      <c r="EO30" s="2" t="s">
        <v>34</v>
      </c>
      <c r="EP30" s="2"/>
      <c r="EQ30" s="2">
        <v>0</v>
      </c>
      <c r="ER30" s="2">
        <v>733.29</v>
      </c>
      <c r="ES30" s="2">
        <v>106.34</v>
      </c>
      <c r="ET30" s="2">
        <v>467.67</v>
      </c>
      <c r="EU30" s="2">
        <v>42.84</v>
      </c>
      <c r="EV30" s="2">
        <v>159.28</v>
      </c>
      <c r="EW30" s="2">
        <v>15.6</v>
      </c>
      <c r="EX30" s="2">
        <v>2.88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7"/>
        <v>0</v>
      </c>
      <c r="FS30" s="2">
        <v>0</v>
      </c>
      <c r="FT30" s="2"/>
      <c r="FU30" s="2"/>
      <c r="FV30" s="2"/>
      <c r="FW30" s="2"/>
      <c r="FX30" s="2">
        <v>93</v>
      </c>
      <c r="FY30" s="2">
        <v>62</v>
      </c>
      <c r="FZ30" s="2"/>
      <c r="GA30" s="2" t="s">
        <v>3</v>
      </c>
      <c r="GB30" s="2"/>
      <c r="GC30" s="2"/>
      <c r="GD30" s="2">
        <v>1</v>
      </c>
      <c r="GE30" s="2"/>
      <c r="GF30" s="2">
        <v>-33788116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8"/>
        <v>0</v>
      </c>
      <c r="GM30" s="2">
        <f t="shared" si="49"/>
        <v>131.64</v>
      </c>
      <c r="GN30" s="2">
        <f t="shared" si="50"/>
        <v>131.64</v>
      </c>
      <c r="GO30" s="2">
        <f t="shared" si="51"/>
        <v>0</v>
      </c>
      <c r="GP30" s="2">
        <f t="shared" si="52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3"/>
        <v>0</v>
      </c>
      <c r="GW30" s="2">
        <v>1</v>
      </c>
      <c r="GX30" s="2">
        <f t="shared" si="54"/>
        <v>0</v>
      </c>
      <c r="GY30" s="2"/>
      <c r="GZ30" s="2"/>
      <c r="HA30" s="2">
        <v>0</v>
      </c>
      <c r="HB30" s="2">
        <v>0</v>
      </c>
      <c r="HC30" s="2">
        <f t="shared" si="55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 t="s">
        <v>35</v>
      </c>
      <c r="HO30" s="2" t="s">
        <v>36</v>
      </c>
      <c r="HP30" s="2" t="s">
        <v>32</v>
      </c>
      <c r="HQ30" s="2" t="s">
        <v>32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17</v>
      </c>
      <c r="B31">
        <v>1</v>
      </c>
      <c r="C31">
        <f>ROW(SmtRes!A60)</f>
        <v>60</v>
      </c>
      <c r="D31">
        <f>ROW(EtalonRes!A70)</f>
        <v>70</v>
      </c>
      <c r="E31" t="s">
        <v>38</v>
      </c>
      <c r="F31" t="s">
        <v>39</v>
      </c>
      <c r="G31" t="s">
        <v>40</v>
      </c>
      <c r="H31" t="s">
        <v>41</v>
      </c>
      <c r="I31">
        <v>0.2</v>
      </c>
      <c r="J31">
        <v>0</v>
      </c>
      <c r="K31">
        <v>0.2</v>
      </c>
      <c r="O31">
        <f t="shared" si="21"/>
        <v>1699.57</v>
      </c>
      <c r="P31">
        <f t="shared" si="22"/>
        <v>0</v>
      </c>
      <c r="Q31">
        <f t="shared" si="23"/>
        <v>866.89</v>
      </c>
      <c r="R31">
        <f t="shared" si="24"/>
        <v>223.97</v>
      </c>
      <c r="S31">
        <f t="shared" si="25"/>
        <v>832.68</v>
      </c>
      <c r="T31">
        <f t="shared" si="26"/>
        <v>0</v>
      </c>
      <c r="U31">
        <f t="shared" si="27"/>
        <v>2.184</v>
      </c>
      <c r="V31">
        <f t="shared" si="28"/>
        <v>0.4032</v>
      </c>
      <c r="W31">
        <f t="shared" si="29"/>
        <v>0</v>
      </c>
      <c r="X31">
        <f t="shared" si="30"/>
        <v>982.68</v>
      </c>
      <c r="Y31">
        <f t="shared" si="31"/>
        <v>655.12</v>
      </c>
      <c r="AA31">
        <v>55657272</v>
      </c>
      <c r="AB31">
        <f t="shared" si="32"/>
        <v>438.87</v>
      </c>
      <c r="AC31">
        <f>ROUND(((ES31*ROUND(0,7))),2)</f>
        <v>0</v>
      </c>
      <c r="AD31">
        <f>ROUND(((((ET31*ROUND(0.7,7)))-((EU31*ROUND(0.7,7))))+AE31),2)</f>
        <v>327.37</v>
      </c>
      <c r="AE31">
        <f t="shared" si="33"/>
        <v>29.99</v>
      </c>
      <c r="AF31">
        <f t="shared" si="33"/>
        <v>111.5</v>
      </c>
      <c r="AG31">
        <f t="shared" si="34"/>
        <v>0</v>
      </c>
      <c r="AH31">
        <f t="shared" si="35"/>
        <v>10.92</v>
      </c>
      <c r="AI31">
        <f t="shared" si="35"/>
        <v>2.016</v>
      </c>
      <c r="AJ31">
        <f t="shared" si="36"/>
        <v>0</v>
      </c>
      <c r="AK31">
        <v>733.29</v>
      </c>
      <c r="AL31">
        <v>106.34</v>
      </c>
      <c r="AM31">
        <v>467.67</v>
      </c>
      <c r="AN31">
        <v>42.84</v>
      </c>
      <c r="AO31">
        <v>159.28</v>
      </c>
      <c r="AP31">
        <v>0</v>
      </c>
      <c r="AQ31">
        <v>15.6</v>
      </c>
      <c r="AR31">
        <v>2.88</v>
      </c>
      <c r="AS31">
        <v>0</v>
      </c>
      <c r="AT31">
        <v>93</v>
      </c>
      <c r="AU31">
        <v>62</v>
      </c>
      <c r="AV31">
        <v>1</v>
      </c>
      <c r="AW31">
        <v>1</v>
      </c>
      <c r="AZ31">
        <v>1</v>
      </c>
      <c r="BA31">
        <v>37.34</v>
      </c>
      <c r="BB31">
        <v>13.24</v>
      </c>
      <c r="BC31">
        <v>6.72</v>
      </c>
      <c r="BH31">
        <v>0</v>
      </c>
      <c r="BI31">
        <v>1</v>
      </c>
      <c r="BJ31" t="s">
        <v>42</v>
      </c>
      <c r="BM31">
        <v>9001</v>
      </c>
      <c r="BN31">
        <v>0</v>
      </c>
      <c r="BO31" t="s">
        <v>37</v>
      </c>
      <c r="BP31">
        <v>1</v>
      </c>
      <c r="BQ31">
        <v>2</v>
      </c>
      <c r="BR31">
        <v>0</v>
      </c>
      <c r="BS31">
        <v>37.34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93</v>
      </c>
      <c r="CA31">
        <v>62</v>
      </c>
      <c r="CE31">
        <v>0</v>
      </c>
      <c r="CF31">
        <v>0</v>
      </c>
      <c r="CG31">
        <v>0</v>
      </c>
      <c r="CM31">
        <v>0</v>
      </c>
      <c r="CN31" t="s">
        <v>28</v>
      </c>
      <c r="CO31">
        <v>0</v>
      </c>
      <c r="CP31">
        <f t="shared" si="37"/>
        <v>1699.57</v>
      </c>
      <c r="CQ31">
        <f t="shared" si="38"/>
        <v>0</v>
      </c>
      <c r="CR31">
        <f>((((ET31*ROUND(0.7,7)))*BB31-((EU31*ROUND(0.7,7)))*BS31)+AE31*BS31)</f>
        <v>4334.440239999999</v>
      </c>
      <c r="CS31">
        <f t="shared" si="39"/>
        <v>1119.8266</v>
      </c>
      <c r="CT31">
        <f t="shared" si="40"/>
        <v>4163.410000000001</v>
      </c>
      <c r="CU31">
        <f t="shared" si="41"/>
        <v>0</v>
      </c>
      <c r="CV31">
        <f t="shared" si="42"/>
        <v>10.92</v>
      </c>
      <c r="CW31">
        <f t="shared" si="43"/>
        <v>2.016</v>
      </c>
      <c r="CX31">
        <f t="shared" si="44"/>
        <v>0</v>
      </c>
      <c r="CY31">
        <f t="shared" si="45"/>
        <v>982.6844999999998</v>
      </c>
      <c r="CZ31">
        <f t="shared" si="46"/>
        <v>655.1229999999999</v>
      </c>
      <c r="DD31" t="s">
        <v>29</v>
      </c>
      <c r="DE31" t="s">
        <v>30</v>
      </c>
      <c r="DF31" t="s">
        <v>30</v>
      </c>
      <c r="DG31" t="s">
        <v>30</v>
      </c>
      <c r="DI31" t="s">
        <v>30</v>
      </c>
      <c r="DJ31" t="s">
        <v>30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41</v>
      </c>
      <c r="DW31" t="s">
        <v>41</v>
      </c>
      <c r="DX31">
        <v>1000</v>
      </c>
      <c r="EE31">
        <v>55471659</v>
      </c>
      <c r="EF31">
        <v>2</v>
      </c>
      <c r="EG31" t="s">
        <v>31</v>
      </c>
      <c r="EH31">
        <v>9</v>
      </c>
      <c r="EI31" t="s">
        <v>32</v>
      </c>
      <c r="EJ31">
        <v>1</v>
      </c>
      <c r="EK31">
        <v>9001</v>
      </c>
      <c r="EL31" t="s">
        <v>32</v>
      </c>
      <c r="EM31" t="s">
        <v>33</v>
      </c>
      <c r="EO31" t="s">
        <v>34</v>
      </c>
      <c r="EQ31">
        <v>0</v>
      </c>
      <c r="ER31">
        <v>733.29</v>
      </c>
      <c r="ES31">
        <v>106.34</v>
      </c>
      <c r="ET31">
        <v>467.67</v>
      </c>
      <c r="EU31">
        <v>42.84</v>
      </c>
      <c r="EV31">
        <v>159.28</v>
      </c>
      <c r="EW31">
        <v>15.6</v>
      </c>
      <c r="EX31">
        <v>2.88</v>
      </c>
      <c r="EY31">
        <v>0</v>
      </c>
      <c r="FQ31">
        <v>0</v>
      </c>
      <c r="FR31">
        <f t="shared" si="47"/>
        <v>0</v>
      </c>
      <c r="FS31">
        <v>0</v>
      </c>
      <c r="FX31">
        <v>93</v>
      </c>
      <c r="FY31">
        <v>62</v>
      </c>
      <c r="GD31">
        <v>1</v>
      </c>
      <c r="GF31">
        <v>-33788116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8"/>
        <v>0</v>
      </c>
      <c r="GM31">
        <f t="shared" si="49"/>
        <v>3337.37</v>
      </c>
      <c r="GN31">
        <f t="shared" si="50"/>
        <v>3337.37</v>
      </c>
      <c r="GO31">
        <f t="shared" si="51"/>
        <v>0</v>
      </c>
      <c r="GP31">
        <f t="shared" si="52"/>
        <v>0</v>
      </c>
      <c r="GR31">
        <v>0</v>
      </c>
      <c r="GS31">
        <v>3</v>
      </c>
      <c r="GT31">
        <v>0</v>
      </c>
      <c r="GV31">
        <f t="shared" si="53"/>
        <v>0</v>
      </c>
      <c r="GW31">
        <v>1</v>
      </c>
      <c r="GX31">
        <f t="shared" si="54"/>
        <v>0</v>
      </c>
      <c r="HA31">
        <v>0</v>
      </c>
      <c r="HB31">
        <v>0</v>
      </c>
      <c r="HC31">
        <f t="shared" si="55"/>
        <v>0</v>
      </c>
      <c r="HN31" t="s">
        <v>35</v>
      </c>
      <c r="HO31" t="s">
        <v>36</v>
      </c>
      <c r="HP31" t="s">
        <v>32</v>
      </c>
      <c r="HQ31" t="s">
        <v>32</v>
      </c>
      <c r="IK31">
        <v>0</v>
      </c>
    </row>
    <row r="32" spans="1:255" ht="12.75">
      <c r="A32" s="2">
        <v>18</v>
      </c>
      <c r="B32" s="2">
        <v>1</v>
      </c>
      <c r="C32" s="2">
        <v>27</v>
      </c>
      <c r="D32" s="2"/>
      <c r="E32" s="2" t="s">
        <v>43</v>
      </c>
      <c r="F32" s="2" t="s">
        <v>44</v>
      </c>
      <c r="G32" s="2" t="s">
        <v>45</v>
      </c>
      <c r="H32" s="2" t="s">
        <v>46</v>
      </c>
      <c r="I32" s="2">
        <f>I30*J32</f>
        <v>0</v>
      </c>
      <c r="J32" s="2">
        <v>0</v>
      </c>
      <c r="K32" s="2">
        <v>-1.95</v>
      </c>
      <c r="L32" s="2"/>
      <c r="M32" s="2"/>
      <c r="N32" s="2"/>
      <c r="O32" s="2">
        <f t="shared" si="21"/>
        <v>0</v>
      </c>
      <c r="P32" s="2">
        <f t="shared" si="22"/>
        <v>0</v>
      </c>
      <c r="Q32" s="2">
        <f t="shared" si="23"/>
        <v>0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1"/>
        <v>0</v>
      </c>
      <c r="Z32" s="2"/>
      <c r="AA32" s="2">
        <v>55656218</v>
      </c>
      <c r="AB32" s="2">
        <f t="shared" si="32"/>
        <v>6.22</v>
      </c>
      <c r="AC32" s="2">
        <f aca="true" t="shared" si="56" ref="AC32:AC57">ROUND((ES32),2)</f>
        <v>6.22</v>
      </c>
      <c r="AD32" s="2">
        <f aca="true" t="shared" si="57" ref="AD32:AD57">ROUND((((ET32)-(EU32))+AE32),2)</f>
        <v>0</v>
      </c>
      <c r="AE32" s="2">
        <f aca="true" t="shared" si="58" ref="AE32:AE57">ROUND((EU32),2)</f>
        <v>0</v>
      </c>
      <c r="AF32" s="2">
        <f aca="true" t="shared" si="59" ref="AF32:AF57">ROUND((EV32),2)</f>
        <v>0</v>
      </c>
      <c r="AG32" s="2">
        <f t="shared" si="34"/>
        <v>0</v>
      </c>
      <c r="AH32" s="2">
        <f aca="true" t="shared" si="60" ref="AH32:AH57">(EW32)</f>
        <v>0</v>
      </c>
      <c r="AI32" s="2">
        <f aca="true" t="shared" si="61" ref="AI32:AI57">(EX32)</f>
        <v>0</v>
      </c>
      <c r="AJ32" s="2">
        <f t="shared" si="36"/>
        <v>0</v>
      </c>
      <c r="AK32" s="2">
        <v>6.22</v>
      </c>
      <c r="AL32" s="2">
        <v>6.22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93</v>
      </c>
      <c r="AU32" s="2">
        <v>62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47</v>
      </c>
      <c r="BK32" s="2"/>
      <c r="BL32" s="2"/>
      <c r="BM32" s="2">
        <v>9001</v>
      </c>
      <c r="BN32" s="2">
        <v>0</v>
      </c>
      <c r="BO32" s="2" t="s">
        <v>3</v>
      </c>
      <c r="BP32" s="2">
        <v>0</v>
      </c>
      <c r="BQ32" s="2">
        <v>2</v>
      </c>
      <c r="BR32" s="2">
        <v>1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93</v>
      </c>
      <c r="CA32" s="2">
        <v>62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28</v>
      </c>
      <c r="CO32" s="2">
        <v>0</v>
      </c>
      <c r="CP32" s="2">
        <f t="shared" si="37"/>
        <v>0</v>
      </c>
      <c r="CQ32" s="2">
        <f t="shared" si="38"/>
        <v>6.22</v>
      </c>
      <c r="CR32" s="2">
        <f aca="true" t="shared" si="62" ref="CR32:CR57">(((ET32)*BB32-(EU32)*BS32)+AE32*BS32)</f>
        <v>0</v>
      </c>
      <c r="CS32" s="2">
        <f t="shared" si="39"/>
        <v>0</v>
      </c>
      <c r="CT32" s="2">
        <f t="shared" si="40"/>
        <v>0</v>
      </c>
      <c r="CU32" s="2">
        <f t="shared" si="41"/>
        <v>0</v>
      </c>
      <c r="CV32" s="2">
        <f t="shared" si="42"/>
        <v>0</v>
      </c>
      <c r="CW32" s="2">
        <f t="shared" si="43"/>
        <v>0</v>
      </c>
      <c r="CX32" s="2">
        <f t="shared" si="44"/>
        <v>0</v>
      </c>
      <c r="CY32" s="2">
        <f t="shared" si="45"/>
        <v>0</v>
      </c>
      <c r="CZ32" s="2">
        <f t="shared" si="46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46</v>
      </c>
      <c r="DW32" s="2" t="s">
        <v>46</v>
      </c>
      <c r="DX32" s="2">
        <v>1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55471659</v>
      </c>
      <c r="EF32" s="2">
        <v>2</v>
      </c>
      <c r="EG32" s="2" t="s">
        <v>31</v>
      </c>
      <c r="EH32" s="2">
        <v>9</v>
      </c>
      <c r="EI32" s="2" t="s">
        <v>32</v>
      </c>
      <c r="EJ32" s="2">
        <v>1</v>
      </c>
      <c r="EK32" s="2">
        <v>9001</v>
      </c>
      <c r="EL32" s="2" t="s">
        <v>32</v>
      </c>
      <c r="EM32" s="2" t="s">
        <v>33</v>
      </c>
      <c r="EN32" s="2"/>
      <c r="EO32" s="2" t="s">
        <v>34</v>
      </c>
      <c r="EP32" s="2"/>
      <c r="EQ32" s="2">
        <v>0</v>
      </c>
      <c r="ER32" s="2">
        <v>6.22</v>
      </c>
      <c r="ES32" s="2">
        <v>6.22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7"/>
        <v>0</v>
      </c>
      <c r="FS32" s="2">
        <v>0</v>
      </c>
      <c r="FT32" s="2"/>
      <c r="FU32" s="2"/>
      <c r="FV32" s="2"/>
      <c r="FW32" s="2"/>
      <c r="FX32" s="2">
        <v>93</v>
      </c>
      <c r="FY32" s="2">
        <v>62</v>
      </c>
      <c r="FZ32" s="2"/>
      <c r="GA32" s="2" t="s">
        <v>3</v>
      </c>
      <c r="GB32" s="2"/>
      <c r="GC32" s="2"/>
      <c r="GD32" s="2">
        <v>1</v>
      </c>
      <c r="GE32" s="2"/>
      <c r="GF32" s="2">
        <v>-1761807714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8"/>
        <v>0</v>
      </c>
      <c r="GM32" s="2">
        <f t="shared" si="49"/>
        <v>0</v>
      </c>
      <c r="GN32" s="2">
        <f t="shared" si="50"/>
        <v>0</v>
      </c>
      <c r="GO32" s="2">
        <f t="shared" si="51"/>
        <v>0</v>
      </c>
      <c r="GP32" s="2">
        <f t="shared" si="52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3"/>
        <v>0</v>
      </c>
      <c r="GW32" s="2">
        <v>1</v>
      </c>
      <c r="GX32" s="2">
        <f t="shared" si="54"/>
        <v>0</v>
      </c>
      <c r="GY32" s="2"/>
      <c r="GZ32" s="2"/>
      <c r="HA32" s="2">
        <v>0</v>
      </c>
      <c r="HB32" s="2">
        <v>0</v>
      </c>
      <c r="HC32" s="2">
        <f t="shared" si="55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29</v>
      </c>
      <c r="HN32" s="2" t="s">
        <v>35</v>
      </c>
      <c r="HO32" s="2" t="s">
        <v>36</v>
      </c>
      <c r="HP32" s="2" t="s">
        <v>32</v>
      </c>
      <c r="HQ32" s="2" t="s">
        <v>32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18</v>
      </c>
      <c r="B33">
        <v>1</v>
      </c>
      <c r="C33">
        <v>48</v>
      </c>
      <c r="E33" t="s">
        <v>43</v>
      </c>
      <c r="F33" t="s">
        <v>44</v>
      </c>
      <c r="G33" t="s">
        <v>45</v>
      </c>
      <c r="H33" t="s">
        <v>46</v>
      </c>
      <c r="I33">
        <f>I31*J33</f>
        <v>0</v>
      </c>
      <c r="J33">
        <v>0</v>
      </c>
      <c r="K33">
        <v>-1.95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55657272</v>
      </c>
      <c r="AB33">
        <f t="shared" si="32"/>
        <v>6.22</v>
      </c>
      <c r="AC33">
        <f t="shared" si="56"/>
        <v>6.22</v>
      </c>
      <c r="AD33">
        <f t="shared" si="57"/>
        <v>0</v>
      </c>
      <c r="AE33">
        <f t="shared" si="58"/>
        <v>0</v>
      </c>
      <c r="AF33">
        <f t="shared" si="59"/>
        <v>0</v>
      </c>
      <c r="AG33">
        <f t="shared" si="34"/>
        <v>0</v>
      </c>
      <c r="AH33">
        <f t="shared" si="60"/>
        <v>0</v>
      </c>
      <c r="AI33">
        <f t="shared" si="61"/>
        <v>0</v>
      </c>
      <c r="AJ33">
        <f t="shared" si="36"/>
        <v>0</v>
      </c>
      <c r="AK33">
        <v>6.22</v>
      </c>
      <c r="AL33">
        <v>6.22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93</v>
      </c>
      <c r="AU33">
        <v>62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6.72</v>
      </c>
      <c r="BH33">
        <v>3</v>
      </c>
      <c r="BI33">
        <v>1</v>
      </c>
      <c r="BJ33" t="s">
        <v>47</v>
      </c>
      <c r="BM33">
        <v>9001</v>
      </c>
      <c r="BN33">
        <v>0</v>
      </c>
      <c r="BO33" t="s">
        <v>37</v>
      </c>
      <c r="BP33">
        <v>1</v>
      </c>
      <c r="BQ33">
        <v>2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93</v>
      </c>
      <c r="CA33">
        <v>62</v>
      </c>
      <c r="CE33">
        <v>0</v>
      </c>
      <c r="CF33">
        <v>0</v>
      </c>
      <c r="CG33">
        <v>0</v>
      </c>
      <c r="CM33">
        <v>0</v>
      </c>
      <c r="CN33" t="s">
        <v>28</v>
      </c>
      <c r="CO33">
        <v>0</v>
      </c>
      <c r="CP33">
        <f t="shared" si="37"/>
        <v>0</v>
      </c>
      <c r="CQ33">
        <f t="shared" si="38"/>
        <v>41.798399999999994</v>
      </c>
      <c r="CR33">
        <f t="shared" si="62"/>
        <v>0</v>
      </c>
      <c r="CS33">
        <f t="shared" si="39"/>
        <v>0</v>
      </c>
      <c r="CT33">
        <f t="shared" si="40"/>
        <v>0</v>
      </c>
      <c r="CU33">
        <f t="shared" si="41"/>
        <v>0</v>
      </c>
      <c r="CV33">
        <f t="shared" si="42"/>
        <v>0</v>
      </c>
      <c r="CW33">
        <f t="shared" si="43"/>
        <v>0</v>
      </c>
      <c r="CX33">
        <f t="shared" si="44"/>
        <v>0</v>
      </c>
      <c r="CY33">
        <f t="shared" si="45"/>
        <v>0</v>
      </c>
      <c r="CZ33">
        <f t="shared" si="46"/>
        <v>0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46</v>
      </c>
      <c r="DW33" t="s">
        <v>46</v>
      </c>
      <c r="DX33">
        <v>1</v>
      </c>
      <c r="EE33">
        <v>55471659</v>
      </c>
      <c r="EF33">
        <v>2</v>
      </c>
      <c r="EG33" t="s">
        <v>31</v>
      </c>
      <c r="EH33">
        <v>9</v>
      </c>
      <c r="EI33" t="s">
        <v>32</v>
      </c>
      <c r="EJ33">
        <v>1</v>
      </c>
      <c r="EK33">
        <v>9001</v>
      </c>
      <c r="EL33" t="s">
        <v>32</v>
      </c>
      <c r="EM33" t="s">
        <v>33</v>
      </c>
      <c r="EO33" t="s">
        <v>34</v>
      </c>
      <c r="EQ33">
        <v>0</v>
      </c>
      <c r="ER33">
        <v>6.22</v>
      </c>
      <c r="ES33">
        <v>6.22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7"/>
        <v>0</v>
      </c>
      <c r="FS33">
        <v>0</v>
      </c>
      <c r="FX33">
        <v>93</v>
      </c>
      <c r="FY33">
        <v>62</v>
      </c>
      <c r="GD33">
        <v>1</v>
      </c>
      <c r="GF33">
        <v>-1761807714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8"/>
        <v>0</v>
      </c>
      <c r="GM33">
        <f t="shared" si="49"/>
        <v>0</v>
      </c>
      <c r="GN33">
        <f t="shared" si="50"/>
        <v>0</v>
      </c>
      <c r="GO33">
        <f t="shared" si="51"/>
        <v>0</v>
      </c>
      <c r="GP33">
        <f t="shared" si="52"/>
        <v>0</v>
      </c>
      <c r="GR33">
        <v>0</v>
      </c>
      <c r="GS33">
        <v>3</v>
      </c>
      <c r="GT33">
        <v>0</v>
      </c>
      <c r="GV33">
        <f t="shared" si="53"/>
        <v>0</v>
      </c>
      <c r="GW33">
        <v>1</v>
      </c>
      <c r="GX33">
        <f t="shared" si="54"/>
        <v>0</v>
      </c>
      <c r="HA33">
        <v>0</v>
      </c>
      <c r="HB33">
        <v>0</v>
      </c>
      <c r="HC33">
        <f t="shared" si="55"/>
        <v>0</v>
      </c>
      <c r="HM33" t="s">
        <v>29</v>
      </c>
      <c r="HN33" t="s">
        <v>35</v>
      </c>
      <c r="HO33" t="s">
        <v>36</v>
      </c>
      <c r="HP33" t="s">
        <v>32</v>
      </c>
      <c r="HQ33" t="s">
        <v>32</v>
      </c>
      <c r="IK33">
        <v>0</v>
      </c>
    </row>
    <row r="34" spans="1:255" ht="12.75">
      <c r="A34" s="2">
        <v>18</v>
      </c>
      <c r="B34" s="2">
        <v>1</v>
      </c>
      <c r="C34" s="2">
        <v>28</v>
      </c>
      <c r="D34" s="2"/>
      <c r="E34" s="2" t="s">
        <v>48</v>
      </c>
      <c r="F34" s="2" t="s">
        <v>49</v>
      </c>
      <c r="G34" s="2" t="s">
        <v>50</v>
      </c>
      <c r="H34" s="2" t="s">
        <v>51</v>
      </c>
      <c r="I34" s="2">
        <f>I30*J34</f>
        <v>0</v>
      </c>
      <c r="J34" s="2">
        <v>0</v>
      </c>
      <c r="K34" s="2">
        <v>-0.59</v>
      </c>
      <c r="L34" s="2"/>
      <c r="M34" s="2"/>
      <c r="N34" s="2"/>
      <c r="O34" s="2">
        <f t="shared" si="21"/>
        <v>0</v>
      </c>
      <c r="P34" s="2">
        <f t="shared" si="22"/>
        <v>0</v>
      </c>
      <c r="Q34" s="2">
        <f t="shared" si="23"/>
        <v>0</v>
      </c>
      <c r="R34" s="2">
        <f t="shared" si="24"/>
        <v>0</v>
      </c>
      <c r="S34" s="2">
        <f t="shared" si="25"/>
        <v>0</v>
      </c>
      <c r="T34" s="2">
        <f t="shared" si="26"/>
        <v>0</v>
      </c>
      <c r="U34" s="2">
        <f t="shared" si="27"/>
        <v>0</v>
      </c>
      <c r="V34" s="2">
        <f t="shared" si="28"/>
        <v>0</v>
      </c>
      <c r="W34" s="2">
        <f t="shared" si="29"/>
        <v>0</v>
      </c>
      <c r="X34" s="2">
        <f t="shared" si="30"/>
        <v>0</v>
      </c>
      <c r="Y34" s="2">
        <f t="shared" si="31"/>
        <v>0</v>
      </c>
      <c r="Z34" s="2"/>
      <c r="AA34" s="2">
        <v>55656218</v>
      </c>
      <c r="AB34" s="2">
        <f t="shared" si="32"/>
        <v>6.09</v>
      </c>
      <c r="AC34" s="2">
        <f t="shared" si="56"/>
        <v>6.09</v>
      </c>
      <c r="AD34" s="2">
        <f t="shared" si="57"/>
        <v>0</v>
      </c>
      <c r="AE34" s="2">
        <f t="shared" si="58"/>
        <v>0</v>
      </c>
      <c r="AF34" s="2">
        <f t="shared" si="59"/>
        <v>0</v>
      </c>
      <c r="AG34" s="2">
        <f t="shared" si="34"/>
        <v>0</v>
      </c>
      <c r="AH34" s="2">
        <f t="shared" si="60"/>
        <v>0</v>
      </c>
      <c r="AI34" s="2">
        <f t="shared" si="61"/>
        <v>0</v>
      </c>
      <c r="AJ34" s="2">
        <f t="shared" si="36"/>
        <v>0</v>
      </c>
      <c r="AK34" s="2">
        <v>6.09</v>
      </c>
      <c r="AL34" s="2">
        <v>6.09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93</v>
      </c>
      <c r="AU34" s="2">
        <v>62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52</v>
      </c>
      <c r="BK34" s="2"/>
      <c r="BL34" s="2"/>
      <c r="BM34" s="2">
        <v>9001</v>
      </c>
      <c r="BN34" s="2">
        <v>0</v>
      </c>
      <c r="BO34" s="2" t="s">
        <v>3</v>
      </c>
      <c r="BP34" s="2">
        <v>0</v>
      </c>
      <c r="BQ34" s="2">
        <v>2</v>
      </c>
      <c r="BR34" s="2">
        <v>1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93</v>
      </c>
      <c r="CA34" s="2">
        <v>62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28</v>
      </c>
      <c r="CO34" s="2">
        <v>0</v>
      </c>
      <c r="CP34" s="2">
        <f t="shared" si="37"/>
        <v>0</v>
      </c>
      <c r="CQ34" s="2">
        <f t="shared" si="38"/>
        <v>6.09</v>
      </c>
      <c r="CR34" s="2">
        <f t="shared" si="62"/>
        <v>0</v>
      </c>
      <c r="CS34" s="2">
        <f t="shared" si="39"/>
        <v>0</v>
      </c>
      <c r="CT34" s="2">
        <f t="shared" si="40"/>
        <v>0</v>
      </c>
      <c r="CU34" s="2">
        <f t="shared" si="41"/>
        <v>0</v>
      </c>
      <c r="CV34" s="2">
        <f t="shared" si="42"/>
        <v>0</v>
      </c>
      <c r="CW34" s="2">
        <f t="shared" si="43"/>
        <v>0</v>
      </c>
      <c r="CX34" s="2">
        <f t="shared" si="44"/>
        <v>0</v>
      </c>
      <c r="CY34" s="2">
        <f t="shared" si="45"/>
        <v>0</v>
      </c>
      <c r="CZ34" s="2">
        <f t="shared" si="46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51</v>
      </c>
      <c r="DW34" s="2" t="s">
        <v>51</v>
      </c>
      <c r="DX34" s="2">
        <v>1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55471659</v>
      </c>
      <c r="EF34" s="2">
        <v>2</v>
      </c>
      <c r="EG34" s="2" t="s">
        <v>31</v>
      </c>
      <c r="EH34" s="2">
        <v>9</v>
      </c>
      <c r="EI34" s="2" t="s">
        <v>32</v>
      </c>
      <c r="EJ34" s="2">
        <v>1</v>
      </c>
      <c r="EK34" s="2">
        <v>9001</v>
      </c>
      <c r="EL34" s="2" t="s">
        <v>32</v>
      </c>
      <c r="EM34" s="2" t="s">
        <v>33</v>
      </c>
      <c r="EN34" s="2"/>
      <c r="EO34" s="2" t="s">
        <v>34</v>
      </c>
      <c r="EP34" s="2"/>
      <c r="EQ34" s="2">
        <v>0</v>
      </c>
      <c r="ER34" s="2">
        <v>6.09</v>
      </c>
      <c r="ES34" s="2">
        <v>6.09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7"/>
        <v>0</v>
      </c>
      <c r="FS34" s="2">
        <v>0</v>
      </c>
      <c r="FT34" s="2"/>
      <c r="FU34" s="2"/>
      <c r="FV34" s="2"/>
      <c r="FW34" s="2"/>
      <c r="FX34" s="2">
        <v>93</v>
      </c>
      <c r="FY34" s="2">
        <v>62</v>
      </c>
      <c r="FZ34" s="2"/>
      <c r="GA34" s="2" t="s">
        <v>3</v>
      </c>
      <c r="GB34" s="2"/>
      <c r="GC34" s="2"/>
      <c r="GD34" s="2">
        <v>1</v>
      </c>
      <c r="GE34" s="2"/>
      <c r="GF34" s="2">
        <v>-2118006079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8"/>
        <v>0</v>
      </c>
      <c r="GM34" s="2">
        <f t="shared" si="49"/>
        <v>0</v>
      </c>
      <c r="GN34" s="2">
        <f t="shared" si="50"/>
        <v>0</v>
      </c>
      <c r="GO34" s="2">
        <f t="shared" si="51"/>
        <v>0</v>
      </c>
      <c r="GP34" s="2">
        <f t="shared" si="52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3"/>
        <v>0</v>
      </c>
      <c r="GW34" s="2">
        <v>1</v>
      </c>
      <c r="GX34" s="2">
        <f t="shared" si="54"/>
        <v>0</v>
      </c>
      <c r="GY34" s="2"/>
      <c r="GZ34" s="2"/>
      <c r="HA34" s="2">
        <v>0</v>
      </c>
      <c r="HB34" s="2">
        <v>0</v>
      </c>
      <c r="HC34" s="2">
        <f t="shared" si="55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29</v>
      </c>
      <c r="HN34" s="2" t="s">
        <v>35</v>
      </c>
      <c r="HO34" s="2" t="s">
        <v>36</v>
      </c>
      <c r="HP34" s="2" t="s">
        <v>32</v>
      </c>
      <c r="HQ34" s="2" t="s">
        <v>32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18</v>
      </c>
      <c r="B35">
        <v>1</v>
      </c>
      <c r="C35">
        <v>49</v>
      </c>
      <c r="E35" t="s">
        <v>48</v>
      </c>
      <c r="F35" t="s">
        <v>49</v>
      </c>
      <c r="G35" t="s">
        <v>50</v>
      </c>
      <c r="H35" t="s">
        <v>51</v>
      </c>
      <c r="I35">
        <f>I31*J35</f>
        <v>0</v>
      </c>
      <c r="J35">
        <v>0</v>
      </c>
      <c r="K35">
        <v>-0.59</v>
      </c>
      <c r="O35">
        <f t="shared" si="21"/>
        <v>0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55657272</v>
      </c>
      <c r="AB35">
        <f t="shared" si="32"/>
        <v>6.09</v>
      </c>
      <c r="AC35">
        <f t="shared" si="56"/>
        <v>6.09</v>
      </c>
      <c r="AD35">
        <f t="shared" si="57"/>
        <v>0</v>
      </c>
      <c r="AE35">
        <f t="shared" si="58"/>
        <v>0</v>
      </c>
      <c r="AF35">
        <f t="shared" si="59"/>
        <v>0</v>
      </c>
      <c r="AG35">
        <f t="shared" si="34"/>
        <v>0</v>
      </c>
      <c r="AH35">
        <f t="shared" si="60"/>
        <v>0</v>
      </c>
      <c r="AI35">
        <f t="shared" si="61"/>
        <v>0</v>
      </c>
      <c r="AJ35">
        <f t="shared" si="36"/>
        <v>0</v>
      </c>
      <c r="AK35">
        <v>6.09</v>
      </c>
      <c r="AL35">
        <v>6.09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93</v>
      </c>
      <c r="AU35">
        <v>62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6.72</v>
      </c>
      <c r="BH35">
        <v>3</v>
      </c>
      <c r="BI35">
        <v>1</v>
      </c>
      <c r="BJ35" t="s">
        <v>52</v>
      </c>
      <c r="BM35">
        <v>9001</v>
      </c>
      <c r="BN35">
        <v>0</v>
      </c>
      <c r="BO35" t="s">
        <v>37</v>
      </c>
      <c r="BP35">
        <v>1</v>
      </c>
      <c r="BQ35">
        <v>2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93</v>
      </c>
      <c r="CA35">
        <v>62</v>
      </c>
      <c r="CE35">
        <v>0</v>
      </c>
      <c r="CF35">
        <v>0</v>
      </c>
      <c r="CG35">
        <v>0</v>
      </c>
      <c r="CM35">
        <v>0</v>
      </c>
      <c r="CN35" t="s">
        <v>28</v>
      </c>
      <c r="CO35">
        <v>0</v>
      </c>
      <c r="CP35">
        <f t="shared" si="37"/>
        <v>0</v>
      </c>
      <c r="CQ35">
        <f t="shared" si="38"/>
        <v>40.9248</v>
      </c>
      <c r="CR35">
        <f t="shared" si="62"/>
        <v>0</v>
      </c>
      <c r="CS35">
        <f t="shared" si="39"/>
        <v>0</v>
      </c>
      <c r="CT35">
        <f t="shared" si="40"/>
        <v>0</v>
      </c>
      <c r="CU35">
        <f t="shared" si="41"/>
        <v>0</v>
      </c>
      <c r="CV35">
        <f t="shared" si="42"/>
        <v>0</v>
      </c>
      <c r="CW35">
        <f t="shared" si="43"/>
        <v>0</v>
      </c>
      <c r="CX35">
        <f t="shared" si="44"/>
        <v>0</v>
      </c>
      <c r="CY35">
        <f t="shared" si="45"/>
        <v>0</v>
      </c>
      <c r="CZ35">
        <f t="shared" si="46"/>
        <v>0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51</v>
      </c>
      <c r="DW35" t="s">
        <v>51</v>
      </c>
      <c r="DX35">
        <v>1</v>
      </c>
      <c r="EE35">
        <v>55471659</v>
      </c>
      <c r="EF35">
        <v>2</v>
      </c>
      <c r="EG35" t="s">
        <v>31</v>
      </c>
      <c r="EH35">
        <v>9</v>
      </c>
      <c r="EI35" t="s">
        <v>32</v>
      </c>
      <c r="EJ35">
        <v>1</v>
      </c>
      <c r="EK35">
        <v>9001</v>
      </c>
      <c r="EL35" t="s">
        <v>32</v>
      </c>
      <c r="EM35" t="s">
        <v>33</v>
      </c>
      <c r="EO35" t="s">
        <v>34</v>
      </c>
      <c r="EQ35">
        <v>0</v>
      </c>
      <c r="ER35">
        <v>6.09</v>
      </c>
      <c r="ES35">
        <v>6.09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7"/>
        <v>0</v>
      </c>
      <c r="FS35">
        <v>0</v>
      </c>
      <c r="FX35">
        <v>93</v>
      </c>
      <c r="FY35">
        <v>62</v>
      </c>
      <c r="GD35">
        <v>1</v>
      </c>
      <c r="GF35">
        <v>-2118006079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8"/>
        <v>0</v>
      </c>
      <c r="GM35">
        <f t="shared" si="49"/>
        <v>0</v>
      </c>
      <c r="GN35">
        <f t="shared" si="50"/>
        <v>0</v>
      </c>
      <c r="GO35">
        <f t="shared" si="51"/>
        <v>0</v>
      </c>
      <c r="GP35">
        <f t="shared" si="52"/>
        <v>0</v>
      </c>
      <c r="GR35">
        <v>0</v>
      </c>
      <c r="GS35">
        <v>3</v>
      </c>
      <c r="GT35">
        <v>0</v>
      </c>
      <c r="GV35">
        <f t="shared" si="53"/>
        <v>0</v>
      </c>
      <c r="GW35">
        <v>1</v>
      </c>
      <c r="GX35">
        <f t="shared" si="54"/>
        <v>0</v>
      </c>
      <c r="HA35">
        <v>0</v>
      </c>
      <c r="HB35">
        <v>0</v>
      </c>
      <c r="HC35">
        <f t="shared" si="55"/>
        <v>0</v>
      </c>
      <c r="HM35" t="s">
        <v>29</v>
      </c>
      <c r="HN35" t="s">
        <v>35</v>
      </c>
      <c r="HO35" t="s">
        <v>36</v>
      </c>
      <c r="HP35" t="s">
        <v>32</v>
      </c>
      <c r="HQ35" t="s">
        <v>32</v>
      </c>
      <c r="IK35">
        <v>0</v>
      </c>
    </row>
    <row r="36" spans="1:255" ht="12.75">
      <c r="A36" s="2">
        <v>18</v>
      </c>
      <c r="B36" s="2">
        <v>1</v>
      </c>
      <c r="C36" s="2">
        <v>29</v>
      </c>
      <c r="D36" s="2"/>
      <c r="E36" s="2" t="s">
        <v>53</v>
      </c>
      <c r="F36" s="2" t="s">
        <v>54</v>
      </c>
      <c r="G36" s="2" t="s">
        <v>55</v>
      </c>
      <c r="H36" s="2" t="s">
        <v>41</v>
      </c>
      <c r="I36" s="2">
        <f>I30*J36</f>
        <v>0</v>
      </c>
      <c r="J36" s="2">
        <v>0</v>
      </c>
      <c r="K36" s="2">
        <v>-0.0031</v>
      </c>
      <c r="L36" s="2"/>
      <c r="M36" s="2"/>
      <c r="N36" s="2"/>
      <c r="O36" s="2">
        <f t="shared" si="21"/>
        <v>0</v>
      </c>
      <c r="P36" s="2">
        <f t="shared" si="22"/>
        <v>0</v>
      </c>
      <c r="Q36" s="2">
        <f t="shared" si="23"/>
        <v>0</v>
      </c>
      <c r="R36" s="2">
        <f t="shared" si="24"/>
        <v>0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0</v>
      </c>
      <c r="X36" s="2">
        <f t="shared" si="30"/>
        <v>0</v>
      </c>
      <c r="Y36" s="2">
        <f t="shared" si="31"/>
        <v>0</v>
      </c>
      <c r="Z36" s="2"/>
      <c r="AA36" s="2">
        <v>55656218</v>
      </c>
      <c r="AB36" s="2">
        <f t="shared" si="32"/>
        <v>10315.01</v>
      </c>
      <c r="AC36" s="2">
        <f t="shared" si="56"/>
        <v>10315.01</v>
      </c>
      <c r="AD36" s="2">
        <f t="shared" si="57"/>
        <v>0</v>
      </c>
      <c r="AE36" s="2">
        <f t="shared" si="58"/>
        <v>0</v>
      </c>
      <c r="AF36" s="2">
        <f t="shared" si="59"/>
        <v>0</v>
      </c>
      <c r="AG36" s="2">
        <f t="shared" si="34"/>
        <v>0</v>
      </c>
      <c r="AH36" s="2">
        <f t="shared" si="60"/>
        <v>0</v>
      </c>
      <c r="AI36" s="2">
        <f t="shared" si="61"/>
        <v>0</v>
      </c>
      <c r="AJ36" s="2">
        <f t="shared" si="36"/>
        <v>0</v>
      </c>
      <c r="AK36" s="2">
        <v>10315.01</v>
      </c>
      <c r="AL36" s="2">
        <v>10315.01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93</v>
      </c>
      <c r="AU36" s="2">
        <v>62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56</v>
      </c>
      <c r="BK36" s="2"/>
      <c r="BL36" s="2"/>
      <c r="BM36" s="2">
        <v>9001</v>
      </c>
      <c r="BN36" s="2">
        <v>0</v>
      </c>
      <c r="BO36" s="2" t="s">
        <v>3</v>
      </c>
      <c r="BP36" s="2">
        <v>0</v>
      </c>
      <c r="BQ36" s="2">
        <v>2</v>
      </c>
      <c r="BR36" s="2">
        <v>1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93</v>
      </c>
      <c r="CA36" s="2">
        <v>62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28</v>
      </c>
      <c r="CO36" s="2">
        <v>0</v>
      </c>
      <c r="CP36" s="2">
        <f t="shared" si="37"/>
        <v>0</v>
      </c>
      <c r="CQ36" s="2">
        <f t="shared" si="38"/>
        <v>10315.01</v>
      </c>
      <c r="CR36" s="2">
        <f t="shared" si="62"/>
        <v>0</v>
      </c>
      <c r="CS36" s="2">
        <f t="shared" si="39"/>
        <v>0</v>
      </c>
      <c r="CT36" s="2">
        <f t="shared" si="40"/>
        <v>0</v>
      </c>
      <c r="CU36" s="2">
        <f t="shared" si="41"/>
        <v>0</v>
      </c>
      <c r="CV36" s="2">
        <f t="shared" si="42"/>
        <v>0</v>
      </c>
      <c r="CW36" s="2">
        <f t="shared" si="43"/>
        <v>0</v>
      </c>
      <c r="CX36" s="2">
        <f t="shared" si="44"/>
        <v>0</v>
      </c>
      <c r="CY36" s="2">
        <f t="shared" si="45"/>
        <v>0</v>
      </c>
      <c r="CZ36" s="2">
        <f t="shared" si="46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41</v>
      </c>
      <c r="DW36" s="2" t="s">
        <v>41</v>
      </c>
      <c r="DX36" s="2">
        <v>1000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55471659</v>
      </c>
      <c r="EF36" s="2">
        <v>2</v>
      </c>
      <c r="EG36" s="2" t="s">
        <v>31</v>
      </c>
      <c r="EH36" s="2">
        <v>9</v>
      </c>
      <c r="EI36" s="2" t="s">
        <v>32</v>
      </c>
      <c r="EJ36" s="2">
        <v>1</v>
      </c>
      <c r="EK36" s="2">
        <v>9001</v>
      </c>
      <c r="EL36" s="2" t="s">
        <v>32</v>
      </c>
      <c r="EM36" s="2" t="s">
        <v>33</v>
      </c>
      <c r="EN36" s="2"/>
      <c r="EO36" s="2" t="s">
        <v>34</v>
      </c>
      <c r="EP36" s="2"/>
      <c r="EQ36" s="2">
        <v>0</v>
      </c>
      <c r="ER36" s="2">
        <v>10315.01</v>
      </c>
      <c r="ES36" s="2">
        <v>10315.01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7"/>
        <v>0</v>
      </c>
      <c r="FS36" s="2">
        <v>0</v>
      </c>
      <c r="FT36" s="2"/>
      <c r="FU36" s="2"/>
      <c r="FV36" s="2"/>
      <c r="FW36" s="2"/>
      <c r="FX36" s="2">
        <v>93</v>
      </c>
      <c r="FY36" s="2">
        <v>62</v>
      </c>
      <c r="FZ36" s="2"/>
      <c r="GA36" s="2" t="s">
        <v>3</v>
      </c>
      <c r="GB36" s="2"/>
      <c r="GC36" s="2"/>
      <c r="GD36" s="2">
        <v>1</v>
      </c>
      <c r="GE36" s="2"/>
      <c r="GF36" s="2">
        <v>1163323608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8"/>
        <v>0</v>
      </c>
      <c r="GM36" s="2">
        <f t="shared" si="49"/>
        <v>0</v>
      </c>
      <c r="GN36" s="2">
        <f t="shared" si="50"/>
        <v>0</v>
      </c>
      <c r="GO36" s="2">
        <f t="shared" si="51"/>
        <v>0</v>
      </c>
      <c r="GP36" s="2">
        <f t="shared" si="52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3"/>
        <v>0</v>
      </c>
      <c r="GW36" s="2">
        <v>1</v>
      </c>
      <c r="GX36" s="2">
        <f t="shared" si="54"/>
        <v>0</v>
      </c>
      <c r="GY36" s="2"/>
      <c r="GZ36" s="2"/>
      <c r="HA36" s="2">
        <v>0</v>
      </c>
      <c r="HB36" s="2">
        <v>0</v>
      </c>
      <c r="HC36" s="2">
        <f t="shared" si="55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 t="s">
        <v>29</v>
      </c>
      <c r="HN36" s="2" t="s">
        <v>35</v>
      </c>
      <c r="HO36" s="2" t="s">
        <v>36</v>
      </c>
      <c r="HP36" s="2" t="s">
        <v>32</v>
      </c>
      <c r="HQ36" s="2" t="s">
        <v>32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18</v>
      </c>
      <c r="B37">
        <v>1</v>
      </c>
      <c r="C37">
        <v>50</v>
      </c>
      <c r="E37" t="s">
        <v>53</v>
      </c>
      <c r="F37" t="s">
        <v>54</v>
      </c>
      <c r="G37" t="s">
        <v>55</v>
      </c>
      <c r="H37" t="s">
        <v>41</v>
      </c>
      <c r="I37">
        <f>I31*J37</f>
        <v>0</v>
      </c>
      <c r="J37">
        <v>0</v>
      </c>
      <c r="K37">
        <v>-0.0031</v>
      </c>
      <c r="O37">
        <f t="shared" si="21"/>
        <v>0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55657272</v>
      </c>
      <c r="AB37">
        <f t="shared" si="32"/>
        <v>10315.01</v>
      </c>
      <c r="AC37">
        <f t="shared" si="56"/>
        <v>10315.01</v>
      </c>
      <c r="AD37">
        <f t="shared" si="57"/>
        <v>0</v>
      </c>
      <c r="AE37">
        <f t="shared" si="58"/>
        <v>0</v>
      </c>
      <c r="AF37">
        <f t="shared" si="59"/>
        <v>0</v>
      </c>
      <c r="AG37">
        <f t="shared" si="34"/>
        <v>0</v>
      </c>
      <c r="AH37">
        <f t="shared" si="60"/>
        <v>0</v>
      </c>
      <c r="AI37">
        <f t="shared" si="61"/>
        <v>0</v>
      </c>
      <c r="AJ37">
        <f t="shared" si="36"/>
        <v>0</v>
      </c>
      <c r="AK37">
        <v>10315.01</v>
      </c>
      <c r="AL37">
        <v>10315.01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93</v>
      </c>
      <c r="AU37">
        <v>62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6.72</v>
      </c>
      <c r="BH37">
        <v>3</v>
      </c>
      <c r="BI37">
        <v>1</v>
      </c>
      <c r="BJ37" t="s">
        <v>56</v>
      </c>
      <c r="BM37">
        <v>9001</v>
      </c>
      <c r="BN37">
        <v>0</v>
      </c>
      <c r="BO37" t="s">
        <v>37</v>
      </c>
      <c r="BP37">
        <v>1</v>
      </c>
      <c r="BQ37">
        <v>2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93</v>
      </c>
      <c r="CA37">
        <v>62</v>
      </c>
      <c r="CE37">
        <v>0</v>
      </c>
      <c r="CF37">
        <v>0</v>
      </c>
      <c r="CG37">
        <v>0</v>
      </c>
      <c r="CM37">
        <v>0</v>
      </c>
      <c r="CN37" t="s">
        <v>28</v>
      </c>
      <c r="CO37">
        <v>0</v>
      </c>
      <c r="CP37">
        <f t="shared" si="37"/>
        <v>0</v>
      </c>
      <c r="CQ37">
        <f t="shared" si="38"/>
        <v>69316.8672</v>
      </c>
      <c r="CR37">
        <f t="shared" si="62"/>
        <v>0</v>
      </c>
      <c r="CS37">
        <f t="shared" si="39"/>
        <v>0</v>
      </c>
      <c r="CT37">
        <f t="shared" si="40"/>
        <v>0</v>
      </c>
      <c r="CU37">
        <f t="shared" si="41"/>
        <v>0</v>
      </c>
      <c r="CV37">
        <f t="shared" si="42"/>
        <v>0</v>
      </c>
      <c r="CW37">
        <f t="shared" si="43"/>
        <v>0</v>
      </c>
      <c r="CX37">
        <f t="shared" si="44"/>
        <v>0</v>
      </c>
      <c r="CY37">
        <f t="shared" si="45"/>
        <v>0</v>
      </c>
      <c r="CZ37">
        <f t="shared" si="46"/>
        <v>0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41</v>
      </c>
      <c r="DW37" t="s">
        <v>41</v>
      </c>
      <c r="DX37">
        <v>1000</v>
      </c>
      <c r="EE37">
        <v>55471659</v>
      </c>
      <c r="EF37">
        <v>2</v>
      </c>
      <c r="EG37" t="s">
        <v>31</v>
      </c>
      <c r="EH37">
        <v>9</v>
      </c>
      <c r="EI37" t="s">
        <v>32</v>
      </c>
      <c r="EJ37">
        <v>1</v>
      </c>
      <c r="EK37">
        <v>9001</v>
      </c>
      <c r="EL37" t="s">
        <v>32</v>
      </c>
      <c r="EM37" t="s">
        <v>33</v>
      </c>
      <c r="EO37" t="s">
        <v>34</v>
      </c>
      <c r="EQ37">
        <v>0</v>
      </c>
      <c r="ER37">
        <v>10315.01</v>
      </c>
      <c r="ES37">
        <v>10315.01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7"/>
        <v>0</v>
      </c>
      <c r="FS37">
        <v>0</v>
      </c>
      <c r="FX37">
        <v>93</v>
      </c>
      <c r="FY37">
        <v>62</v>
      </c>
      <c r="GD37">
        <v>1</v>
      </c>
      <c r="GF37">
        <v>1163323608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8"/>
        <v>0</v>
      </c>
      <c r="GM37">
        <f t="shared" si="49"/>
        <v>0</v>
      </c>
      <c r="GN37">
        <f t="shared" si="50"/>
        <v>0</v>
      </c>
      <c r="GO37">
        <f t="shared" si="51"/>
        <v>0</v>
      </c>
      <c r="GP37">
        <f t="shared" si="52"/>
        <v>0</v>
      </c>
      <c r="GR37">
        <v>0</v>
      </c>
      <c r="GS37">
        <v>3</v>
      </c>
      <c r="GT37">
        <v>0</v>
      </c>
      <c r="GV37">
        <f t="shared" si="53"/>
        <v>0</v>
      </c>
      <c r="GW37">
        <v>1</v>
      </c>
      <c r="GX37">
        <f t="shared" si="54"/>
        <v>0</v>
      </c>
      <c r="HA37">
        <v>0</v>
      </c>
      <c r="HB37">
        <v>0</v>
      </c>
      <c r="HC37">
        <f t="shared" si="55"/>
        <v>0</v>
      </c>
      <c r="HM37" t="s">
        <v>29</v>
      </c>
      <c r="HN37" t="s">
        <v>35</v>
      </c>
      <c r="HO37" t="s">
        <v>36</v>
      </c>
      <c r="HP37" t="s">
        <v>32</v>
      </c>
      <c r="HQ37" t="s">
        <v>32</v>
      </c>
      <c r="IK37">
        <v>0</v>
      </c>
    </row>
    <row r="38" spans="1:255" ht="12.75">
      <c r="A38" s="2">
        <v>18</v>
      </c>
      <c r="B38" s="2">
        <v>1</v>
      </c>
      <c r="C38" s="2">
        <v>30</v>
      </c>
      <c r="D38" s="2"/>
      <c r="E38" s="2" t="s">
        <v>57</v>
      </c>
      <c r="F38" s="2" t="s">
        <v>58</v>
      </c>
      <c r="G38" s="2" t="s">
        <v>59</v>
      </c>
      <c r="H38" s="2" t="s">
        <v>51</v>
      </c>
      <c r="I38" s="2">
        <f>I30*J38</f>
        <v>0</v>
      </c>
      <c r="J38" s="2">
        <v>0</v>
      </c>
      <c r="K38" s="2">
        <v>-3.1</v>
      </c>
      <c r="L38" s="2"/>
      <c r="M38" s="2"/>
      <c r="N38" s="2"/>
      <c r="O38" s="2">
        <f t="shared" si="21"/>
        <v>0</v>
      </c>
      <c r="P38" s="2">
        <f t="shared" si="22"/>
        <v>0</v>
      </c>
      <c r="Q38" s="2">
        <f t="shared" si="23"/>
        <v>0</v>
      </c>
      <c r="R38" s="2">
        <f t="shared" si="24"/>
        <v>0</v>
      </c>
      <c r="S38" s="2">
        <f t="shared" si="25"/>
        <v>0</v>
      </c>
      <c r="T38" s="2">
        <f t="shared" si="26"/>
        <v>0</v>
      </c>
      <c r="U38" s="2">
        <f t="shared" si="27"/>
        <v>0</v>
      </c>
      <c r="V38" s="2">
        <f t="shared" si="28"/>
        <v>0</v>
      </c>
      <c r="W38" s="2">
        <f t="shared" si="29"/>
        <v>0</v>
      </c>
      <c r="X38" s="2">
        <f t="shared" si="30"/>
        <v>0</v>
      </c>
      <c r="Y38" s="2">
        <f t="shared" si="31"/>
        <v>0</v>
      </c>
      <c r="Z38" s="2"/>
      <c r="AA38" s="2">
        <v>55656218</v>
      </c>
      <c r="AB38" s="2">
        <f t="shared" si="32"/>
        <v>9.04</v>
      </c>
      <c r="AC38" s="2">
        <f t="shared" si="56"/>
        <v>9.04</v>
      </c>
      <c r="AD38" s="2">
        <f t="shared" si="57"/>
        <v>0</v>
      </c>
      <c r="AE38" s="2">
        <f t="shared" si="58"/>
        <v>0</v>
      </c>
      <c r="AF38" s="2">
        <f t="shared" si="59"/>
        <v>0</v>
      </c>
      <c r="AG38" s="2">
        <f t="shared" si="34"/>
        <v>0</v>
      </c>
      <c r="AH38" s="2">
        <f t="shared" si="60"/>
        <v>0</v>
      </c>
      <c r="AI38" s="2">
        <f t="shared" si="61"/>
        <v>0</v>
      </c>
      <c r="AJ38" s="2">
        <f t="shared" si="36"/>
        <v>0</v>
      </c>
      <c r="AK38" s="2">
        <v>9.04</v>
      </c>
      <c r="AL38" s="2">
        <v>9.04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93</v>
      </c>
      <c r="AU38" s="2">
        <v>62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60</v>
      </c>
      <c r="BK38" s="2"/>
      <c r="BL38" s="2"/>
      <c r="BM38" s="2">
        <v>9001</v>
      </c>
      <c r="BN38" s="2">
        <v>0</v>
      </c>
      <c r="BO38" s="2" t="s">
        <v>3</v>
      </c>
      <c r="BP38" s="2">
        <v>0</v>
      </c>
      <c r="BQ38" s="2">
        <v>2</v>
      </c>
      <c r="BR38" s="2">
        <v>1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93</v>
      </c>
      <c r="CA38" s="2">
        <v>62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28</v>
      </c>
      <c r="CO38" s="2">
        <v>0</v>
      </c>
      <c r="CP38" s="2">
        <f t="shared" si="37"/>
        <v>0</v>
      </c>
      <c r="CQ38" s="2">
        <f t="shared" si="38"/>
        <v>9.04</v>
      </c>
      <c r="CR38" s="2">
        <f t="shared" si="62"/>
        <v>0</v>
      </c>
      <c r="CS38" s="2">
        <f t="shared" si="39"/>
        <v>0</v>
      </c>
      <c r="CT38" s="2">
        <f t="shared" si="40"/>
        <v>0</v>
      </c>
      <c r="CU38" s="2">
        <f t="shared" si="41"/>
        <v>0</v>
      </c>
      <c r="CV38" s="2">
        <f t="shared" si="42"/>
        <v>0</v>
      </c>
      <c r="CW38" s="2">
        <f t="shared" si="43"/>
        <v>0</v>
      </c>
      <c r="CX38" s="2">
        <f t="shared" si="44"/>
        <v>0</v>
      </c>
      <c r="CY38" s="2">
        <f t="shared" si="45"/>
        <v>0</v>
      </c>
      <c r="CZ38" s="2">
        <f t="shared" si="46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51</v>
      </c>
      <c r="DW38" s="2" t="s">
        <v>51</v>
      </c>
      <c r="DX38" s="2">
        <v>1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55471659</v>
      </c>
      <c r="EF38" s="2">
        <v>2</v>
      </c>
      <c r="EG38" s="2" t="s">
        <v>31</v>
      </c>
      <c r="EH38" s="2">
        <v>9</v>
      </c>
      <c r="EI38" s="2" t="s">
        <v>32</v>
      </c>
      <c r="EJ38" s="2">
        <v>1</v>
      </c>
      <c r="EK38" s="2">
        <v>9001</v>
      </c>
      <c r="EL38" s="2" t="s">
        <v>32</v>
      </c>
      <c r="EM38" s="2" t="s">
        <v>33</v>
      </c>
      <c r="EN38" s="2"/>
      <c r="EO38" s="2" t="s">
        <v>34</v>
      </c>
      <c r="EP38" s="2"/>
      <c r="EQ38" s="2">
        <v>0</v>
      </c>
      <c r="ER38" s="2">
        <v>9.04</v>
      </c>
      <c r="ES38" s="2">
        <v>9.04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7"/>
        <v>0</v>
      </c>
      <c r="FS38" s="2">
        <v>0</v>
      </c>
      <c r="FT38" s="2"/>
      <c r="FU38" s="2"/>
      <c r="FV38" s="2"/>
      <c r="FW38" s="2"/>
      <c r="FX38" s="2">
        <v>93</v>
      </c>
      <c r="FY38" s="2">
        <v>62</v>
      </c>
      <c r="FZ38" s="2"/>
      <c r="GA38" s="2" t="s">
        <v>3</v>
      </c>
      <c r="GB38" s="2"/>
      <c r="GC38" s="2"/>
      <c r="GD38" s="2">
        <v>1</v>
      </c>
      <c r="GE38" s="2"/>
      <c r="GF38" s="2">
        <v>-1864341761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8"/>
        <v>0</v>
      </c>
      <c r="GM38" s="2">
        <f t="shared" si="49"/>
        <v>0</v>
      </c>
      <c r="GN38" s="2">
        <f t="shared" si="50"/>
        <v>0</v>
      </c>
      <c r="GO38" s="2">
        <f t="shared" si="51"/>
        <v>0</v>
      </c>
      <c r="GP38" s="2">
        <f t="shared" si="52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3"/>
        <v>0</v>
      </c>
      <c r="GW38" s="2">
        <v>1</v>
      </c>
      <c r="GX38" s="2">
        <f t="shared" si="54"/>
        <v>0</v>
      </c>
      <c r="GY38" s="2"/>
      <c r="GZ38" s="2"/>
      <c r="HA38" s="2">
        <v>0</v>
      </c>
      <c r="HB38" s="2">
        <v>0</v>
      </c>
      <c r="HC38" s="2">
        <f t="shared" si="55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 t="s">
        <v>29</v>
      </c>
      <c r="HN38" s="2" t="s">
        <v>35</v>
      </c>
      <c r="HO38" s="2" t="s">
        <v>36</v>
      </c>
      <c r="HP38" s="2" t="s">
        <v>32</v>
      </c>
      <c r="HQ38" s="2" t="s">
        <v>32</v>
      </c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18</v>
      </c>
      <c r="B39">
        <v>1</v>
      </c>
      <c r="C39">
        <v>51</v>
      </c>
      <c r="E39" t="s">
        <v>57</v>
      </c>
      <c r="F39" t="s">
        <v>58</v>
      </c>
      <c r="G39" t="s">
        <v>59</v>
      </c>
      <c r="H39" t="s">
        <v>51</v>
      </c>
      <c r="I39">
        <f>I31*J39</f>
        <v>0</v>
      </c>
      <c r="J39">
        <v>0</v>
      </c>
      <c r="K39">
        <v>-3.1</v>
      </c>
      <c r="O39">
        <f t="shared" si="21"/>
        <v>0</v>
      </c>
      <c r="P39">
        <f t="shared" si="22"/>
        <v>0</v>
      </c>
      <c r="Q39">
        <f t="shared" si="23"/>
        <v>0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55657272</v>
      </c>
      <c r="AB39">
        <f t="shared" si="32"/>
        <v>9.04</v>
      </c>
      <c r="AC39">
        <f t="shared" si="56"/>
        <v>9.04</v>
      </c>
      <c r="AD39">
        <f t="shared" si="57"/>
        <v>0</v>
      </c>
      <c r="AE39">
        <f t="shared" si="58"/>
        <v>0</v>
      </c>
      <c r="AF39">
        <f t="shared" si="59"/>
        <v>0</v>
      </c>
      <c r="AG39">
        <f t="shared" si="34"/>
        <v>0</v>
      </c>
      <c r="AH39">
        <f t="shared" si="60"/>
        <v>0</v>
      </c>
      <c r="AI39">
        <f t="shared" si="61"/>
        <v>0</v>
      </c>
      <c r="AJ39">
        <f t="shared" si="36"/>
        <v>0</v>
      </c>
      <c r="AK39">
        <v>9.04</v>
      </c>
      <c r="AL39">
        <v>9.04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93</v>
      </c>
      <c r="AU39">
        <v>62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6.72</v>
      </c>
      <c r="BH39">
        <v>3</v>
      </c>
      <c r="BI39">
        <v>1</v>
      </c>
      <c r="BJ39" t="s">
        <v>60</v>
      </c>
      <c r="BM39">
        <v>9001</v>
      </c>
      <c r="BN39">
        <v>0</v>
      </c>
      <c r="BO39" t="s">
        <v>37</v>
      </c>
      <c r="BP39">
        <v>1</v>
      </c>
      <c r="BQ39">
        <v>2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93</v>
      </c>
      <c r="CA39">
        <v>62</v>
      </c>
      <c r="CE39">
        <v>0</v>
      </c>
      <c r="CF39">
        <v>0</v>
      </c>
      <c r="CG39">
        <v>0</v>
      </c>
      <c r="CM39">
        <v>0</v>
      </c>
      <c r="CN39" t="s">
        <v>28</v>
      </c>
      <c r="CO39">
        <v>0</v>
      </c>
      <c r="CP39">
        <f t="shared" si="37"/>
        <v>0</v>
      </c>
      <c r="CQ39">
        <f t="shared" si="38"/>
        <v>60.74879999999999</v>
      </c>
      <c r="CR39">
        <f t="shared" si="62"/>
        <v>0</v>
      </c>
      <c r="CS39">
        <f t="shared" si="39"/>
        <v>0</v>
      </c>
      <c r="CT39">
        <f t="shared" si="40"/>
        <v>0</v>
      </c>
      <c r="CU39">
        <f t="shared" si="41"/>
        <v>0</v>
      </c>
      <c r="CV39">
        <f t="shared" si="42"/>
        <v>0</v>
      </c>
      <c r="CW39">
        <f t="shared" si="43"/>
        <v>0</v>
      </c>
      <c r="CX39">
        <f t="shared" si="44"/>
        <v>0</v>
      </c>
      <c r="CY39">
        <f t="shared" si="45"/>
        <v>0</v>
      </c>
      <c r="CZ39">
        <f t="shared" si="46"/>
        <v>0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51</v>
      </c>
      <c r="DW39" t="s">
        <v>51</v>
      </c>
      <c r="DX39">
        <v>1</v>
      </c>
      <c r="EE39">
        <v>55471659</v>
      </c>
      <c r="EF39">
        <v>2</v>
      </c>
      <c r="EG39" t="s">
        <v>31</v>
      </c>
      <c r="EH39">
        <v>9</v>
      </c>
      <c r="EI39" t="s">
        <v>32</v>
      </c>
      <c r="EJ39">
        <v>1</v>
      </c>
      <c r="EK39">
        <v>9001</v>
      </c>
      <c r="EL39" t="s">
        <v>32</v>
      </c>
      <c r="EM39" t="s">
        <v>33</v>
      </c>
      <c r="EO39" t="s">
        <v>34</v>
      </c>
      <c r="EQ39">
        <v>0</v>
      </c>
      <c r="ER39">
        <v>9.04</v>
      </c>
      <c r="ES39">
        <v>9.04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7"/>
        <v>0</v>
      </c>
      <c r="FS39">
        <v>0</v>
      </c>
      <c r="FX39">
        <v>93</v>
      </c>
      <c r="FY39">
        <v>62</v>
      </c>
      <c r="GD39">
        <v>1</v>
      </c>
      <c r="GF39">
        <v>-1864341761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8"/>
        <v>0</v>
      </c>
      <c r="GM39">
        <f t="shared" si="49"/>
        <v>0</v>
      </c>
      <c r="GN39">
        <f t="shared" si="50"/>
        <v>0</v>
      </c>
      <c r="GO39">
        <f t="shared" si="51"/>
        <v>0</v>
      </c>
      <c r="GP39">
        <f t="shared" si="52"/>
        <v>0</v>
      </c>
      <c r="GR39">
        <v>0</v>
      </c>
      <c r="GS39">
        <v>3</v>
      </c>
      <c r="GT39">
        <v>0</v>
      </c>
      <c r="GV39">
        <f t="shared" si="53"/>
        <v>0</v>
      </c>
      <c r="GW39">
        <v>1</v>
      </c>
      <c r="GX39">
        <f t="shared" si="54"/>
        <v>0</v>
      </c>
      <c r="HA39">
        <v>0</v>
      </c>
      <c r="HB39">
        <v>0</v>
      </c>
      <c r="HC39">
        <f t="shared" si="55"/>
        <v>0</v>
      </c>
      <c r="HM39" t="s">
        <v>29</v>
      </c>
      <c r="HN39" t="s">
        <v>35</v>
      </c>
      <c r="HO39" t="s">
        <v>36</v>
      </c>
      <c r="HP39" t="s">
        <v>32</v>
      </c>
      <c r="HQ39" t="s">
        <v>32</v>
      </c>
      <c r="IK39">
        <v>0</v>
      </c>
    </row>
    <row r="40" spans="1:255" ht="12.75">
      <c r="A40" s="2">
        <v>18</v>
      </c>
      <c r="B40" s="2">
        <v>1</v>
      </c>
      <c r="C40" s="2">
        <v>31</v>
      </c>
      <c r="D40" s="2"/>
      <c r="E40" s="2" t="s">
        <v>61</v>
      </c>
      <c r="F40" s="2" t="s">
        <v>62</v>
      </c>
      <c r="G40" s="2" t="s">
        <v>63</v>
      </c>
      <c r="H40" s="2" t="s">
        <v>41</v>
      </c>
      <c r="I40" s="2">
        <f>I30*J40</f>
        <v>0</v>
      </c>
      <c r="J40" s="2">
        <v>0</v>
      </c>
      <c r="K40" s="2">
        <v>-1E-05</v>
      </c>
      <c r="L40" s="2"/>
      <c r="M40" s="2"/>
      <c r="N40" s="2"/>
      <c r="O40" s="2">
        <f t="shared" si="21"/>
        <v>0</v>
      </c>
      <c r="P40" s="2">
        <f t="shared" si="22"/>
        <v>0</v>
      </c>
      <c r="Q40" s="2">
        <f t="shared" si="23"/>
        <v>0</v>
      </c>
      <c r="R40" s="2">
        <f t="shared" si="24"/>
        <v>0</v>
      </c>
      <c r="S40" s="2">
        <f t="shared" si="25"/>
        <v>0</v>
      </c>
      <c r="T40" s="2">
        <f t="shared" si="26"/>
        <v>0</v>
      </c>
      <c r="U40" s="2">
        <f t="shared" si="27"/>
        <v>0</v>
      </c>
      <c r="V40" s="2">
        <f t="shared" si="28"/>
        <v>0</v>
      </c>
      <c r="W40" s="2">
        <f t="shared" si="29"/>
        <v>0</v>
      </c>
      <c r="X40" s="2">
        <f t="shared" si="30"/>
        <v>0</v>
      </c>
      <c r="Y40" s="2">
        <f t="shared" si="31"/>
        <v>0</v>
      </c>
      <c r="Z40" s="2"/>
      <c r="AA40" s="2">
        <v>55656218</v>
      </c>
      <c r="AB40" s="2">
        <f t="shared" si="32"/>
        <v>11978</v>
      </c>
      <c r="AC40" s="2">
        <f t="shared" si="56"/>
        <v>11978</v>
      </c>
      <c r="AD40" s="2">
        <f t="shared" si="57"/>
        <v>0</v>
      </c>
      <c r="AE40" s="2">
        <f t="shared" si="58"/>
        <v>0</v>
      </c>
      <c r="AF40" s="2">
        <f t="shared" si="59"/>
        <v>0</v>
      </c>
      <c r="AG40" s="2">
        <f t="shared" si="34"/>
        <v>0</v>
      </c>
      <c r="AH40" s="2">
        <f t="shared" si="60"/>
        <v>0</v>
      </c>
      <c r="AI40" s="2">
        <f t="shared" si="61"/>
        <v>0</v>
      </c>
      <c r="AJ40" s="2">
        <f t="shared" si="36"/>
        <v>0</v>
      </c>
      <c r="AK40" s="2">
        <v>11978</v>
      </c>
      <c r="AL40" s="2">
        <v>11978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93</v>
      </c>
      <c r="AU40" s="2">
        <v>62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64</v>
      </c>
      <c r="BK40" s="2"/>
      <c r="BL40" s="2"/>
      <c r="BM40" s="2">
        <v>9001</v>
      </c>
      <c r="BN40" s="2">
        <v>0</v>
      </c>
      <c r="BO40" s="2" t="s">
        <v>3</v>
      </c>
      <c r="BP40" s="2">
        <v>0</v>
      </c>
      <c r="BQ40" s="2">
        <v>2</v>
      </c>
      <c r="BR40" s="2">
        <v>1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93</v>
      </c>
      <c r="CA40" s="2">
        <v>62</v>
      </c>
      <c r="CB40" s="2" t="s">
        <v>3</v>
      </c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28</v>
      </c>
      <c r="CO40" s="2">
        <v>0</v>
      </c>
      <c r="CP40" s="2">
        <f t="shared" si="37"/>
        <v>0</v>
      </c>
      <c r="CQ40" s="2">
        <f t="shared" si="38"/>
        <v>11978</v>
      </c>
      <c r="CR40" s="2">
        <f t="shared" si="62"/>
        <v>0</v>
      </c>
      <c r="CS40" s="2">
        <f t="shared" si="39"/>
        <v>0</v>
      </c>
      <c r="CT40" s="2">
        <f t="shared" si="40"/>
        <v>0</v>
      </c>
      <c r="CU40" s="2">
        <f t="shared" si="41"/>
        <v>0</v>
      </c>
      <c r="CV40" s="2">
        <f t="shared" si="42"/>
        <v>0</v>
      </c>
      <c r="CW40" s="2">
        <f t="shared" si="43"/>
        <v>0</v>
      </c>
      <c r="CX40" s="2">
        <f t="shared" si="44"/>
        <v>0</v>
      </c>
      <c r="CY40" s="2">
        <f t="shared" si="45"/>
        <v>0</v>
      </c>
      <c r="CZ40" s="2">
        <f t="shared" si="46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41</v>
      </c>
      <c r="DW40" s="2" t="s">
        <v>41</v>
      </c>
      <c r="DX40" s="2">
        <v>1000</v>
      </c>
      <c r="DY40" s="2"/>
      <c r="DZ40" s="2" t="s">
        <v>3</v>
      </c>
      <c r="EA40" s="2" t="s">
        <v>3</v>
      </c>
      <c r="EB40" s="2" t="s">
        <v>3</v>
      </c>
      <c r="EC40" s="2" t="s">
        <v>3</v>
      </c>
      <c r="ED40" s="2"/>
      <c r="EE40" s="2">
        <v>55471659</v>
      </c>
      <c r="EF40" s="2">
        <v>2</v>
      </c>
      <c r="EG40" s="2" t="s">
        <v>31</v>
      </c>
      <c r="EH40" s="2">
        <v>9</v>
      </c>
      <c r="EI40" s="2" t="s">
        <v>32</v>
      </c>
      <c r="EJ40" s="2">
        <v>1</v>
      </c>
      <c r="EK40" s="2">
        <v>9001</v>
      </c>
      <c r="EL40" s="2" t="s">
        <v>32</v>
      </c>
      <c r="EM40" s="2" t="s">
        <v>33</v>
      </c>
      <c r="EN40" s="2"/>
      <c r="EO40" s="2" t="s">
        <v>34</v>
      </c>
      <c r="EP40" s="2"/>
      <c r="EQ40" s="2">
        <v>0</v>
      </c>
      <c r="ER40" s="2">
        <v>11978</v>
      </c>
      <c r="ES40" s="2">
        <v>11978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7"/>
        <v>0</v>
      </c>
      <c r="FS40" s="2">
        <v>0</v>
      </c>
      <c r="FT40" s="2"/>
      <c r="FU40" s="2"/>
      <c r="FV40" s="2"/>
      <c r="FW40" s="2"/>
      <c r="FX40" s="2">
        <v>93</v>
      </c>
      <c r="FY40" s="2">
        <v>62</v>
      </c>
      <c r="FZ40" s="2"/>
      <c r="GA40" s="2" t="s">
        <v>3</v>
      </c>
      <c r="GB40" s="2"/>
      <c r="GC40" s="2"/>
      <c r="GD40" s="2">
        <v>1</v>
      </c>
      <c r="GE40" s="2"/>
      <c r="GF40" s="2">
        <v>-45966985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8"/>
        <v>0</v>
      </c>
      <c r="GM40" s="2">
        <f t="shared" si="49"/>
        <v>0</v>
      </c>
      <c r="GN40" s="2">
        <f t="shared" si="50"/>
        <v>0</v>
      </c>
      <c r="GO40" s="2">
        <f t="shared" si="51"/>
        <v>0</v>
      </c>
      <c r="GP40" s="2">
        <f t="shared" si="52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3"/>
        <v>0</v>
      </c>
      <c r="GW40" s="2">
        <v>1</v>
      </c>
      <c r="GX40" s="2">
        <f t="shared" si="54"/>
        <v>0</v>
      </c>
      <c r="GY40" s="2"/>
      <c r="GZ40" s="2"/>
      <c r="HA40" s="2">
        <v>0</v>
      </c>
      <c r="HB40" s="2">
        <v>0</v>
      </c>
      <c r="HC40" s="2">
        <f t="shared" si="55"/>
        <v>0</v>
      </c>
      <c r="HD40" s="2"/>
      <c r="HE40" s="2" t="s">
        <v>3</v>
      </c>
      <c r="HF40" s="2" t="s">
        <v>3</v>
      </c>
      <c r="HG40" s="2"/>
      <c r="HH40" s="2"/>
      <c r="HI40" s="2"/>
      <c r="HJ40" s="2"/>
      <c r="HK40" s="2"/>
      <c r="HL40" s="2"/>
      <c r="HM40" s="2" t="s">
        <v>29</v>
      </c>
      <c r="HN40" s="2" t="s">
        <v>35</v>
      </c>
      <c r="HO40" s="2" t="s">
        <v>36</v>
      </c>
      <c r="HP40" s="2" t="s">
        <v>32</v>
      </c>
      <c r="HQ40" s="2" t="s">
        <v>32</v>
      </c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45" ht="12.75">
      <c r="A41">
        <v>18</v>
      </c>
      <c r="B41">
        <v>1</v>
      </c>
      <c r="C41">
        <v>52</v>
      </c>
      <c r="E41" t="s">
        <v>61</v>
      </c>
      <c r="F41" t="s">
        <v>62</v>
      </c>
      <c r="G41" t="s">
        <v>63</v>
      </c>
      <c r="H41" t="s">
        <v>41</v>
      </c>
      <c r="I41">
        <f>I31*J41</f>
        <v>0</v>
      </c>
      <c r="J41">
        <v>0</v>
      </c>
      <c r="K41">
        <v>-1E-05</v>
      </c>
      <c r="O41">
        <f t="shared" si="21"/>
        <v>0</v>
      </c>
      <c r="P41">
        <f t="shared" si="22"/>
        <v>0</v>
      </c>
      <c r="Q41">
        <f t="shared" si="23"/>
        <v>0</v>
      </c>
      <c r="R41">
        <f t="shared" si="24"/>
        <v>0</v>
      </c>
      <c r="S41">
        <f t="shared" si="25"/>
        <v>0</v>
      </c>
      <c r="T41">
        <f t="shared" si="26"/>
        <v>0</v>
      </c>
      <c r="U41">
        <f t="shared" si="27"/>
        <v>0</v>
      </c>
      <c r="V41">
        <f t="shared" si="28"/>
        <v>0</v>
      </c>
      <c r="W41">
        <f t="shared" si="29"/>
        <v>0</v>
      </c>
      <c r="X41">
        <f t="shared" si="30"/>
        <v>0</v>
      </c>
      <c r="Y41">
        <f t="shared" si="31"/>
        <v>0</v>
      </c>
      <c r="AA41">
        <v>55657272</v>
      </c>
      <c r="AB41">
        <f t="shared" si="32"/>
        <v>11978</v>
      </c>
      <c r="AC41">
        <f t="shared" si="56"/>
        <v>11978</v>
      </c>
      <c r="AD41">
        <f t="shared" si="57"/>
        <v>0</v>
      </c>
      <c r="AE41">
        <f t="shared" si="58"/>
        <v>0</v>
      </c>
      <c r="AF41">
        <f t="shared" si="59"/>
        <v>0</v>
      </c>
      <c r="AG41">
        <f t="shared" si="34"/>
        <v>0</v>
      </c>
      <c r="AH41">
        <f t="shared" si="60"/>
        <v>0</v>
      </c>
      <c r="AI41">
        <f t="shared" si="61"/>
        <v>0</v>
      </c>
      <c r="AJ41">
        <f t="shared" si="36"/>
        <v>0</v>
      </c>
      <c r="AK41">
        <v>11978</v>
      </c>
      <c r="AL41">
        <v>11978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93</v>
      </c>
      <c r="AU41">
        <v>62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6.72</v>
      </c>
      <c r="BH41">
        <v>3</v>
      </c>
      <c r="BI41">
        <v>1</v>
      </c>
      <c r="BJ41" t="s">
        <v>64</v>
      </c>
      <c r="BM41">
        <v>9001</v>
      </c>
      <c r="BN41">
        <v>0</v>
      </c>
      <c r="BO41" t="s">
        <v>37</v>
      </c>
      <c r="BP41">
        <v>1</v>
      </c>
      <c r="BQ41">
        <v>2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93</v>
      </c>
      <c r="CA41">
        <v>62</v>
      </c>
      <c r="CE41">
        <v>0</v>
      </c>
      <c r="CF41">
        <v>0</v>
      </c>
      <c r="CG41">
        <v>0</v>
      </c>
      <c r="CM41">
        <v>0</v>
      </c>
      <c r="CN41" t="s">
        <v>28</v>
      </c>
      <c r="CO41">
        <v>0</v>
      </c>
      <c r="CP41">
        <f t="shared" si="37"/>
        <v>0</v>
      </c>
      <c r="CQ41">
        <f t="shared" si="38"/>
        <v>80492.16</v>
      </c>
      <c r="CR41">
        <f t="shared" si="62"/>
        <v>0</v>
      </c>
      <c r="CS41">
        <f t="shared" si="39"/>
        <v>0</v>
      </c>
      <c r="CT41">
        <f t="shared" si="40"/>
        <v>0</v>
      </c>
      <c r="CU41">
        <f t="shared" si="41"/>
        <v>0</v>
      </c>
      <c r="CV41">
        <f t="shared" si="42"/>
        <v>0</v>
      </c>
      <c r="CW41">
        <f t="shared" si="43"/>
        <v>0</v>
      </c>
      <c r="CX41">
        <f t="shared" si="44"/>
        <v>0</v>
      </c>
      <c r="CY41">
        <f t="shared" si="45"/>
        <v>0</v>
      </c>
      <c r="CZ41">
        <f t="shared" si="46"/>
        <v>0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41</v>
      </c>
      <c r="DW41" t="s">
        <v>41</v>
      </c>
      <c r="DX41">
        <v>1000</v>
      </c>
      <c r="EE41">
        <v>55471659</v>
      </c>
      <c r="EF41">
        <v>2</v>
      </c>
      <c r="EG41" t="s">
        <v>31</v>
      </c>
      <c r="EH41">
        <v>9</v>
      </c>
      <c r="EI41" t="s">
        <v>32</v>
      </c>
      <c r="EJ41">
        <v>1</v>
      </c>
      <c r="EK41">
        <v>9001</v>
      </c>
      <c r="EL41" t="s">
        <v>32</v>
      </c>
      <c r="EM41" t="s">
        <v>33</v>
      </c>
      <c r="EO41" t="s">
        <v>34</v>
      </c>
      <c r="EQ41">
        <v>0</v>
      </c>
      <c r="ER41">
        <v>11978</v>
      </c>
      <c r="ES41">
        <v>11978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7"/>
        <v>0</v>
      </c>
      <c r="FS41">
        <v>0</v>
      </c>
      <c r="FX41">
        <v>93</v>
      </c>
      <c r="FY41">
        <v>62</v>
      </c>
      <c r="GD41">
        <v>1</v>
      </c>
      <c r="GF41">
        <v>-45966985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48"/>
        <v>0</v>
      </c>
      <c r="GM41">
        <f t="shared" si="49"/>
        <v>0</v>
      </c>
      <c r="GN41">
        <f t="shared" si="50"/>
        <v>0</v>
      </c>
      <c r="GO41">
        <f t="shared" si="51"/>
        <v>0</v>
      </c>
      <c r="GP41">
        <f t="shared" si="52"/>
        <v>0</v>
      </c>
      <c r="GR41">
        <v>0</v>
      </c>
      <c r="GS41">
        <v>3</v>
      </c>
      <c r="GT41">
        <v>0</v>
      </c>
      <c r="GV41">
        <f t="shared" si="53"/>
        <v>0</v>
      </c>
      <c r="GW41">
        <v>1</v>
      </c>
      <c r="GX41">
        <f t="shared" si="54"/>
        <v>0</v>
      </c>
      <c r="HA41">
        <v>0</v>
      </c>
      <c r="HB41">
        <v>0</v>
      </c>
      <c r="HC41">
        <f t="shared" si="55"/>
        <v>0</v>
      </c>
      <c r="HM41" t="s">
        <v>29</v>
      </c>
      <c r="HN41" t="s">
        <v>35</v>
      </c>
      <c r="HO41" t="s">
        <v>36</v>
      </c>
      <c r="HP41" t="s">
        <v>32</v>
      </c>
      <c r="HQ41" t="s">
        <v>32</v>
      </c>
      <c r="IK41">
        <v>0</v>
      </c>
    </row>
    <row r="42" spans="1:255" ht="12.75">
      <c r="A42" s="2">
        <v>18</v>
      </c>
      <c r="B42" s="2">
        <v>1</v>
      </c>
      <c r="C42" s="2">
        <v>32</v>
      </c>
      <c r="D42" s="2"/>
      <c r="E42" s="2" t="s">
        <v>65</v>
      </c>
      <c r="F42" s="2" t="s">
        <v>66</v>
      </c>
      <c r="G42" s="2" t="s">
        <v>67</v>
      </c>
      <c r="H42" s="2" t="s">
        <v>41</v>
      </c>
      <c r="I42" s="2">
        <f>I30*J42</f>
        <v>0</v>
      </c>
      <c r="J42" s="2">
        <v>0</v>
      </c>
      <c r="K42" s="2">
        <v>-0.0001</v>
      </c>
      <c r="L42" s="2"/>
      <c r="M42" s="2"/>
      <c r="N42" s="2"/>
      <c r="O42" s="2">
        <f t="shared" si="21"/>
        <v>0</v>
      </c>
      <c r="P42" s="2">
        <f t="shared" si="22"/>
        <v>0</v>
      </c>
      <c r="Q42" s="2">
        <f t="shared" si="23"/>
        <v>0</v>
      </c>
      <c r="R42" s="2">
        <f t="shared" si="24"/>
        <v>0</v>
      </c>
      <c r="S42" s="2">
        <f t="shared" si="25"/>
        <v>0</v>
      </c>
      <c r="T42" s="2">
        <f t="shared" si="26"/>
        <v>0</v>
      </c>
      <c r="U42" s="2">
        <f t="shared" si="27"/>
        <v>0</v>
      </c>
      <c r="V42" s="2">
        <f t="shared" si="28"/>
        <v>0</v>
      </c>
      <c r="W42" s="2">
        <f t="shared" si="29"/>
        <v>0</v>
      </c>
      <c r="X42" s="2">
        <f t="shared" si="30"/>
        <v>0</v>
      </c>
      <c r="Y42" s="2">
        <f t="shared" si="31"/>
        <v>0</v>
      </c>
      <c r="Z42" s="2"/>
      <c r="AA42" s="2">
        <v>55656218</v>
      </c>
      <c r="AB42" s="2">
        <f t="shared" si="32"/>
        <v>37900</v>
      </c>
      <c r="AC42" s="2">
        <f t="shared" si="56"/>
        <v>37900</v>
      </c>
      <c r="AD42" s="2">
        <f t="shared" si="57"/>
        <v>0</v>
      </c>
      <c r="AE42" s="2">
        <f t="shared" si="58"/>
        <v>0</v>
      </c>
      <c r="AF42" s="2">
        <f t="shared" si="59"/>
        <v>0</v>
      </c>
      <c r="AG42" s="2">
        <f t="shared" si="34"/>
        <v>0</v>
      </c>
      <c r="AH42" s="2">
        <f t="shared" si="60"/>
        <v>0</v>
      </c>
      <c r="AI42" s="2">
        <f t="shared" si="61"/>
        <v>0</v>
      </c>
      <c r="AJ42" s="2">
        <f t="shared" si="36"/>
        <v>0</v>
      </c>
      <c r="AK42" s="2">
        <v>37900</v>
      </c>
      <c r="AL42" s="2">
        <v>37900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93</v>
      </c>
      <c r="AU42" s="2">
        <v>62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68</v>
      </c>
      <c r="BK42" s="2"/>
      <c r="BL42" s="2"/>
      <c r="BM42" s="2">
        <v>9001</v>
      </c>
      <c r="BN42" s="2">
        <v>0</v>
      </c>
      <c r="BO42" s="2" t="s">
        <v>3</v>
      </c>
      <c r="BP42" s="2">
        <v>0</v>
      </c>
      <c r="BQ42" s="2">
        <v>2</v>
      </c>
      <c r="BR42" s="2">
        <v>1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93</v>
      </c>
      <c r="CA42" s="2">
        <v>62</v>
      </c>
      <c r="CB42" s="2" t="s">
        <v>3</v>
      </c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28</v>
      </c>
      <c r="CO42" s="2">
        <v>0</v>
      </c>
      <c r="CP42" s="2">
        <f t="shared" si="37"/>
        <v>0</v>
      </c>
      <c r="CQ42" s="2">
        <f t="shared" si="38"/>
        <v>37900</v>
      </c>
      <c r="CR42" s="2">
        <f t="shared" si="62"/>
        <v>0</v>
      </c>
      <c r="CS42" s="2">
        <f t="shared" si="39"/>
        <v>0</v>
      </c>
      <c r="CT42" s="2">
        <f t="shared" si="40"/>
        <v>0</v>
      </c>
      <c r="CU42" s="2">
        <f t="shared" si="41"/>
        <v>0</v>
      </c>
      <c r="CV42" s="2">
        <f t="shared" si="42"/>
        <v>0</v>
      </c>
      <c r="CW42" s="2">
        <f t="shared" si="43"/>
        <v>0</v>
      </c>
      <c r="CX42" s="2">
        <f t="shared" si="44"/>
        <v>0</v>
      </c>
      <c r="CY42" s="2">
        <f t="shared" si="45"/>
        <v>0</v>
      </c>
      <c r="CZ42" s="2">
        <f t="shared" si="46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41</v>
      </c>
      <c r="DW42" s="2" t="s">
        <v>41</v>
      </c>
      <c r="DX42" s="2">
        <v>1000</v>
      </c>
      <c r="DY42" s="2"/>
      <c r="DZ42" s="2" t="s">
        <v>3</v>
      </c>
      <c r="EA42" s="2" t="s">
        <v>3</v>
      </c>
      <c r="EB42" s="2" t="s">
        <v>3</v>
      </c>
      <c r="EC42" s="2" t="s">
        <v>3</v>
      </c>
      <c r="ED42" s="2"/>
      <c r="EE42" s="2">
        <v>55471659</v>
      </c>
      <c r="EF42" s="2">
        <v>2</v>
      </c>
      <c r="EG42" s="2" t="s">
        <v>31</v>
      </c>
      <c r="EH42" s="2">
        <v>9</v>
      </c>
      <c r="EI42" s="2" t="s">
        <v>32</v>
      </c>
      <c r="EJ42" s="2">
        <v>1</v>
      </c>
      <c r="EK42" s="2">
        <v>9001</v>
      </c>
      <c r="EL42" s="2" t="s">
        <v>32</v>
      </c>
      <c r="EM42" s="2" t="s">
        <v>33</v>
      </c>
      <c r="EN42" s="2"/>
      <c r="EO42" s="2" t="s">
        <v>34</v>
      </c>
      <c r="EP42" s="2"/>
      <c r="EQ42" s="2">
        <v>0</v>
      </c>
      <c r="ER42" s="2">
        <v>37900</v>
      </c>
      <c r="ES42" s="2">
        <v>37900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7"/>
        <v>0</v>
      </c>
      <c r="FS42" s="2">
        <v>0</v>
      </c>
      <c r="FT42" s="2"/>
      <c r="FU42" s="2"/>
      <c r="FV42" s="2"/>
      <c r="FW42" s="2"/>
      <c r="FX42" s="2">
        <v>93</v>
      </c>
      <c r="FY42" s="2">
        <v>62</v>
      </c>
      <c r="FZ42" s="2"/>
      <c r="GA42" s="2" t="s">
        <v>3</v>
      </c>
      <c r="GB42" s="2"/>
      <c r="GC42" s="2"/>
      <c r="GD42" s="2">
        <v>1</v>
      </c>
      <c r="GE42" s="2"/>
      <c r="GF42" s="2">
        <v>-1671348935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8"/>
        <v>0</v>
      </c>
      <c r="GM42" s="2">
        <f t="shared" si="49"/>
        <v>0</v>
      </c>
      <c r="GN42" s="2">
        <f t="shared" si="50"/>
        <v>0</v>
      </c>
      <c r="GO42" s="2">
        <f t="shared" si="51"/>
        <v>0</v>
      </c>
      <c r="GP42" s="2">
        <f t="shared" si="52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3"/>
        <v>0</v>
      </c>
      <c r="GW42" s="2">
        <v>1</v>
      </c>
      <c r="GX42" s="2">
        <f t="shared" si="54"/>
        <v>0</v>
      </c>
      <c r="GY42" s="2"/>
      <c r="GZ42" s="2"/>
      <c r="HA42" s="2">
        <v>0</v>
      </c>
      <c r="HB42" s="2">
        <v>0</v>
      </c>
      <c r="HC42" s="2">
        <f t="shared" si="55"/>
        <v>0</v>
      </c>
      <c r="HD42" s="2"/>
      <c r="HE42" s="2" t="s">
        <v>3</v>
      </c>
      <c r="HF42" s="2" t="s">
        <v>3</v>
      </c>
      <c r="HG42" s="2"/>
      <c r="HH42" s="2"/>
      <c r="HI42" s="2"/>
      <c r="HJ42" s="2"/>
      <c r="HK42" s="2"/>
      <c r="HL42" s="2"/>
      <c r="HM42" s="2" t="s">
        <v>29</v>
      </c>
      <c r="HN42" s="2" t="s">
        <v>35</v>
      </c>
      <c r="HO42" s="2" t="s">
        <v>36</v>
      </c>
      <c r="HP42" s="2" t="s">
        <v>32</v>
      </c>
      <c r="HQ42" s="2" t="s">
        <v>32</v>
      </c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45" ht="12.75">
      <c r="A43">
        <v>18</v>
      </c>
      <c r="B43">
        <v>1</v>
      </c>
      <c r="C43">
        <v>53</v>
      </c>
      <c r="E43" t="s">
        <v>65</v>
      </c>
      <c r="F43" t="s">
        <v>66</v>
      </c>
      <c r="G43" t="s">
        <v>67</v>
      </c>
      <c r="H43" t="s">
        <v>41</v>
      </c>
      <c r="I43">
        <f>I31*J43</f>
        <v>0</v>
      </c>
      <c r="J43">
        <v>0</v>
      </c>
      <c r="K43">
        <v>-0.0001</v>
      </c>
      <c r="O43">
        <f t="shared" si="21"/>
        <v>0</v>
      </c>
      <c r="P43">
        <f t="shared" si="22"/>
        <v>0</v>
      </c>
      <c r="Q43">
        <f t="shared" si="23"/>
        <v>0</v>
      </c>
      <c r="R43">
        <f t="shared" si="24"/>
        <v>0</v>
      </c>
      <c r="S43">
        <f t="shared" si="25"/>
        <v>0</v>
      </c>
      <c r="T43">
        <f t="shared" si="26"/>
        <v>0</v>
      </c>
      <c r="U43">
        <f t="shared" si="27"/>
        <v>0</v>
      </c>
      <c r="V43">
        <f t="shared" si="28"/>
        <v>0</v>
      </c>
      <c r="W43">
        <f t="shared" si="29"/>
        <v>0</v>
      </c>
      <c r="X43">
        <f t="shared" si="30"/>
        <v>0</v>
      </c>
      <c r="Y43">
        <f t="shared" si="31"/>
        <v>0</v>
      </c>
      <c r="AA43">
        <v>55657272</v>
      </c>
      <c r="AB43">
        <f t="shared" si="32"/>
        <v>37900</v>
      </c>
      <c r="AC43">
        <f t="shared" si="56"/>
        <v>37900</v>
      </c>
      <c r="AD43">
        <f t="shared" si="57"/>
        <v>0</v>
      </c>
      <c r="AE43">
        <f t="shared" si="58"/>
        <v>0</v>
      </c>
      <c r="AF43">
        <f t="shared" si="59"/>
        <v>0</v>
      </c>
      <c r="AG43">
        <f t="shared" si="34"/>
        <v>0</v>
      </c>
      <c r="AH43">
        <f t="shared" si="60"/>
        <v>0</v>
      </c>
      <c r="AI43">
        <f t="shared" si="61"/>
        <v>0</v>
      </c>
      <c r="AJ43">
        <f t="shared" si="36"/>
        <v>0</v>
      </c>
      <c r="AK43">
        <v>37900</v>
      </c>
      <c r="AL43">
        <v>37900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93</v>
      </c>
      <c r="AU43">
        <v>62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6.72</v>
      </c>
      <c r="BH43">
        <v>3</v>
      </c>
      <c r="BI43">
        <v>1</v>
      </c>
      <c r="BJ43" t="s">
        <v>68</v>
      </c>
      <c r="BM43">
        <v>9001</v>
      </c>
      <c r="BN43">
        <v>0</v>
      </c>
      <c r="BO43" t="s">
        <v>37</v>
      </c>
      <c r="BP43">
        <v>1</v>
      </c>
      <c r="BQ43">
        <v>2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93</v>
      </c>
      <c r="CA43">
        <v>62</v>
      </c>
      <c r="CE43">
        <v>0</v>
      </c>
      <c r="CF43">
        <v>0</v>
      </c>
      <c r="CG43">
        <v>0</v>
      </c>
      <c r="CM43">
        <v>0</v>
      </c>
      <c r="CN43" t="s">
        <v>28</v>
      </c>
      <c r="CO43">
        <v>0</v>
      </c>
      <c r="CP43">
        <f t="shared" si="37"/>
        <v>0</v>
      </c>
      <c r="CQ43">
        <f t="shared" si="38"/>
        <v>254688</v>
      </c>
      <c r="CR43">
        <f t="shared" si="62"/>
        <v>0</v>
      </c>
      <c r="CS43">
        <f t="shared" si="39"/>
        <v>0</v>
      </c>
      <c r="CT43">
        <f t="shared" si="40"/>
        <v>0</v>
      </c>
      <c r="CU43">
        <f t="shared" si="41"/>
        <v>0</v>
      </c>
      <c r="CV43">
        <f t="shared" si="42"/>
        <v>0</v>
      </c>
      <c r="CW43">
        <f t="shared" si="43"/>
        <v>0</v>
      </c>
      <c r="CX43">
        <f t="shared" si="44"/>
        <v>0</v>
      </c>
      <c r="CY43">
        <f t="shared" si="45"/>
        <v>0</v>
      </c>
      <c r="CZ43">
        <f t="shared" si="46"/>
        <v>0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41</v>
      </c>
      <c r="DW43" t="s">
        <v>41</v>
      </c>
      <c r="DX43">
        <v>1000</v>
      </c>
      <c r="EE43">
        <v>55471659</v>
      </c>
      <c r="EF43">
        <v>2</v>
      </c>
      <c r="EG43" t="s">
        <v>31</v>
      </c>
      <c r="EH43">
        <v>9</v>
      </c>
      <c r="EI43" t="s">
        <v>32</v>
      </c>
      <c r="EJ43">
        <v>1</v>
      </c>
      <c r="EK43">
        <v>9001</v>
      </c>
      <c r="EL43" t="s">
        <v>32</v>
      </c>
      <c r="EM43" t="s">
        <v>33</v>
      </c>
      <c r="EO43" t="s">
        <v>34</v>
      </c>
      <c r="EQ43">
        <v>0</v>
      </c>
      <c r="ER43">
        <v>37900</v>
      </c>
      <c r="ES43">
        <v>37900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7"/>
        <v>0</v>
      </c>
      <c r="FS43">
        <v>0</v>
      </c>
      <c r="FX43">
        <v>93</v>
      </c>
      <c r="FY43">
        <v>62</v>
      </c>
      <c r="GD43">
        <v>1</v>
      </c>
      <c r="GF43">
        <v>-1671348935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8"/>
        <v>0</v>
      </c>
      <c r="GM43">
        <f t="shared" si="49"/>
        <v>0</v>
      </c>
      <c r="GN43">
        <f t="shared" si="50"/>
        <v>0</v>
      </c>
      <c r="GO43">
        <f t="shared" si="51"/>
        <v>0</v>
      </c>
      <c r="GP43">
        <f t="shared" si="52"/>
        <v>0</v>
      </c>
      <c r="GR43">
        <v>0</v>
      </c>
      <c r="GS43">
        <v>3</v>
      </c>
      <c r="GT43">
        <v>0</v>
      </c>
      <c r="GV43">
        <f t="shared" si="53"/>
        <v>0</v>
      </c>
      <c r="GW43">
        <v>1</v>
      </c>
      <c r="GX43">
        <f t="shared" si="54"/>
        <v>0</v>
      </c>
      <c r="HA43">
        <v>0</v>
      </c>
      <c r="HB43">
        <v>0</v>
      </c>
      <c r="HC43">
        <f t="shared" si="55"/>
        <v>0</v>
      </c>
      <c r="HM43" t="s">
        <v>29</v>
      </c>
      <c r="HN43" t="s">
        <v>35</v>
      </c>
      <c r="HO43" t="s">
        <v>36</v>
      </c>
      <c r="HP43" t="s">
        <v>32</v>
      </c>
      <c r="HQ43" t="s">
        <v>32</v>
      </c>
      <c r="IK43">
        <v>0</v>
      </c>
    </row>
    <row r="44" spans="1:255" ht="12.75">
      <c r="A44" s="2">
        <v>18</v>
      </c>
      <c r="B44" s="2">
        <v>1</v>
      </c>
      <c r="C44" s="2">
        <v>33</v>
      </c>
      <c r="D44" s="2"/>
      <c r="E44" s="2" t="s">
        <v>69</v>
      </c>
      <c r="F44" s="2" t="s">
        <v>70</v>
      </c>
      <c r="G44" s="2" t="s">
        <v>71</v>
      </c>
      <c r="H44" s="2" t="s">
        <v>41</v>
      </c>
      <c r="I44" s="2">
        <f>I30*J44</f>
        <v>0</v>
      </c>
      <c r="J44" s="2">
        <v>0</v>
      </c>
      <c r="K44" s="2">
        <v>-0.0005</v>
      </c>
      <c r="L44" s="2"/>
      <c r="M44" s="2"/>
      <c r="N44" s="2"/>
      <c r="O44" s="2">
        <f t="shared" si="21"/>
        <v>0</v>
      </c>
      <c r="P44" s="2">
        <f t="shared" si="22"/>
        <v>0</v>
      </c>
      <c r="Q44" s="2">
        <f t="shared" si="23"/>
        <v>0</v>
      </c>
      <c r="R44" s="2">
        <f t="shared" si="24"/>
        <v>0</v>
      </c>
      <c r="S44" s="2">
        <f t="shared" si="25"/>
        <v>0</v>
      </c>
      <c r="T44" s="2">
        <f t="shared" si="26"/>
        <v>0</v>
      </c>
      <c r="U44" s="2">
        <f t="shared" si="27"/>
        <v>0</v>
      </c>
      <c r="V44" s="2">
        <f t="shared" si="28"/>
        <v>0</v>
      </c>
      <c r="W44" s="2">
        <f t="shared" si="29"/>
        <v>0</v>
      </c>
      <c r="X44" s="2">
        <f t="shared" si="30"/>
        <v>0</v>
      </c>
      <c r="Y44" s="2">
        <f t="shared" si="31"/>
        <v>0</v>
      </c>
      <c r="Z44" s="2"/>
      <c r="AA44" s="2">
        <v>55656218</v>
      </c>
      <c r="AB44" s="2">
        <f t="shared" si="32"/>
        <v>7712</v>
      </c>
      <c r="AC44" s="2">
        <f t="shared" si="56"/>
        <v>7712</v>
      </c>
      <c r="AD44" s="2">
        <f t="shared" si="57"/>
        <v>0</v>
      </c>
      <c r="AE44" s="2">
        <f t="shared" si="58"/>
        <v>0</v>
      </c>
      <c r="AF44" s="2">
        <f t="shared" si="59"/>
        <v>0</v>
      </c>
      <c r="AG44" s="2">
        <f t="shared" si="34"/>
        <v>0</v>
      </c>
      <c r="AH44" s="2">
        <f t="shared" si="60"/>
        <v>0</v>
      </c>
      <c r="AI44" s="2">
        <f t="shared" si="61"/>
        <v>0</v>
      </c>
      <c r="AJ44" s="2">
        <f t="shared" si="36"/>
        <v>0</v>
      </c>
      <c r="AK44" s="2">
        <v>7712</v>
      </c>
      <c r="AL44" s="2">
        <v>7712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93</v>
      </c>
      <c r="AU44" s="2">
        <v>62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72</v>
      </c>
      <c r="BK44" s="2"/>
      <c r="BL44" s="2"/>
      <c r="BM44" s="2">
        <v>9001</v>
      </c>
      <c r="BN44" s="2">
        <v>0</v>
      </c>
      <c r="BO44" s="2" t="s">
        <v>3</v>
      </c>
      <c r="BP44" s="2">
        <v>0</v>
      </c>
      <c r="BQ44" s="2">
        <v>2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93</v>
      </c>
      <c r="CA44" s="2">
        <v>62</v>
      </c>
      <c r="CB44" s="2" t="s">
        <v>3</v>
      </c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28</v>
      </c>
      <c r="CO44" s="2">
        <v>0</v>
      </c>
      <c r="CP44" s="2">
        <f t="shared" si="37"/>
        <v>0</v>
      </c>
      <c r="CQ44" s="2">
        <f t="shared" si="38"/>
        <v>7712</v>
      </c>
      <c r="CR44" s="2">
        <f t="shared" si="62"/>
        <v>0</v>
      </c>
      <c r="CS44" s="2">
        <f t="shared" si="39"/>
        <v>0</v>
      </c>
      <c r="CT44" s="2">
        <f t="shared" si="40"/>
        <v>0</v>
      </c>
      <c r="CU44" s="2">
        <f t="shared" si="41"/>
        <v>0</v>
      </c>
      <c r="CV44" s="2">
        <f t="shared" si="42"/>
        <v>0</v>
      </c>
      <c r="CW44" s="2">
        <f t="shared" si="43"/>
        <v>0</v>
      </c>
      <c r="CX44" s="2">
        <f t="shared" si="44"/>
        <v>0</v>
      </c>
      <c r="CY44" s="2">
        <f t="shared" si="45"/>
        <v>0</v>
      </c>
      <c r="CZ44" s="2">
        <f t="shared" si="46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41</v>
      </c>
      <c r="DW44" s="2" t="s">
        <v>41</v>
      </c>
      <c r="DX44" s="2">
        <v>1000</v>
      </c>
      <c r="DY44" s="2"/>
      <c r="DZ44" s="2" t="s">
        <v>3</v>
      </c>
      <c r="EA44" s="2" t="s">
        <v>3</v>
      </c>
      <c r="EB44" s="2" t="s">
        <v>3</v>
      </c>
      <c r="EC44" s="2" t="s">
        <v>3</v>
      </c>
      <c r="ED44" s="2"/>
      <c r="EE44" s="2">
        <v>55471659</v>
      </c>
      <c r="EF44" s="2">
        <v>2</v>
      </c>
      <c r="EG44" s="2" t="s">
        <v>31</v>
      </c>
      <c r="EH44" s="2">
        <v>9</v>
      </c>
      <c r="EI44" s="2" t="s">
        <v>32</v>
      </c>
      <c r="EJ44" s="2">
        <v>1</v>
      </c>
      <c r="EK44" s="2">
        <v>9001</v>
      </c>
      <c r="EL44" s="2" t="s">
        <v>32</v>
      </c>
      <c r="EM44" s="2" t="s">
        <v>33</v>
      </c>
      <c r="EN44" s="2"/>
      <c r="EO44" s="2" t="s">
        <v>34</v>
      </c>
      <c r="EP44" s="2"/>
      <c r="EQ44" s="2">
        <v>0</v>
      </c>
      <c r="ER44" s="2">
        <v>7712</v>
      </c>
      <c r="ES44" s="2">
        <v>7712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7"/>
        <v>0</v>
      </c>
      <c r="FS44" s="2">
        <v>0</v>
      </c>
      <c r="FT44" s="2"/>
      <c r="FU44" s="2"/>
      <c r="FV44" s="2"/>
      <c r="FW44" s="2"/>
      <c r="FX44" s="2">
        <v>93</v>
      </c>
      <c r="FY44" s="2">
        <v>62</v>
      </c>
      <c r="FZ44" s="2"/>
      <c r="GA44" s="2" t="s">
        <v>3</v>
      </c>
      <c r="GB44" s="2"/>
      <c r="GC44" s="2"/>
      <c r="GD44" s="2">
        <v>1</v>
      </c>
      <c r="GE44" s="2"/>
      <c r="GF44" s="2">
        <v>-1915778085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8"/>
        <v>0</v>
      </c>
      <c r="GM44" s="2">
        <f t="shared" si="49"/>
        <v>0</v>
      </c>
      <c r="GN44" s="2">
        <f t="shared" si="50"/>
        <v>0</v>
      </c>
      <c r="GO44" s="2">
        <f t="shared" si="51"/>
        <v>0</v>
      </c>
      <c r="GP44" s="2">
        <f t="shared" si="52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3"/>
        <v>0</v>
      </c>
      <c r="GW44" s="2">
        <v>1</v>
      </c>
      <c r="GX44" s="2">
        <f t="shared" si="54"/>
        <v>0</v>
      </c>
      <c r="GY44" s="2"/>
      <c r="GZ44" s="2"/>
      <c r="HA44" s="2">
        <v>0</v>
      </c>
      <c r="HB44" s="2">
        <v>0</v>
      </c>
      <c r="HC44" s="2">
        <f t="shared" si="55"/>
        <v>0</v>
      </c>
      <c r="HD44" s="2"/>
      <c r="HE44" s="2" t="s">
        <v>3</v>
      </c>
      <c r="HF44" s="2" t="s">
        <v>3</v>
      </c>
      <c r="HG44" s="2"/>
      <c r="HH44" s="2"/>
      <c r="HI44" s="2"/>
      <c r="HJ44" s="2"/>
      <c r="HK44" s="2"/>
      <c r="HL44" s="2"/>
      <c r="HM44" s="2" t="s">
        <v>29</v>
      </c>
      <c r="HN44" s="2" t="s">
        <v>35</v>
      </c>
      <c r="HO44" s="2" t="s">
        <v>36</v>
      </c>
      <c r="HP44" s="2" t="s">
        <v>32</v>
      </c>
      <c r="HQ44" s="2" t="s">
        <v>32</v>
      </c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45" ht="12.75">
      <c r="A45">
        <v>18</v>
      </c>
      <c r="B45">
        <v>1</v>
      </c>
      <c r="C45">
        <v>54</v>
      </c>
      <c r="E45" t="s">
        <v>69</v>
      </c>
      <c r="F45" t="s">
        <v>70</v>
      </c>
      <c r="G45" t="s">
        <v>71</v>
      </c>
      <c r="H45" t="s">
        <v>41</v>
      </c>
      <c r="I45">
        <f>I31*J45</f>
        <v>0</v>
      </c>
      <c r="J45">
        <v>0</v>
      </c>
      <c r="K45">
        <v>-0.0005</v>
      </c>
      <c r="O45">
        <f t="shared" si="21"/>
        <v>0</v>
      </c>
      <c r="P45">
        <f t="shared" si="22"/>
        <v>0</v>
      </c>
      <c r="Q45">
        <f t="shared" si="23"/>
        <v>0</v>
      </c>
      <c r="R45">
        <f t="shared" si="24"/>
        <v>0</v>
      </c>
      <c r="S45">
        <f t="shared" si="25"/>
        <v>0</v>
      </c>
      <c r="T45">
        <f t="shared" si="26"/>
        <v>0</v>
      </c>
      <c r="U45">
        <f t="shared" si="27"/>
        <v>0</v>
      </c>
      <c r="V45">
        <f t="shared" si="28"/>
        <v>0</v>
      </c>
      <c r="W45">
        <f t="shared" si="29"/>
        <v>0</v>
      </c>
      <c r="X45">
        <f t="shared" si="30"/>
        <v>0</v>
      </c>
      <c r="Y45">
        <f t="shared" si="31"/>
        <v>0</v>
      </c>
      <c r="AA45">
        <v>55657272</v>
      </c>
      <c r="AB45">
        <f t="shared" si="32"/>
        <v>7712</v>
      </c>
      <c r="AC45">
        <f t="shared" si="56"/>
        <v>7712</v>
      </c>
      <c r="AD45">
        <f t="shared" si="57"/>
        <v>0</v>
      </c>
      <c r="AE45">
        <f t="shared" si="58"/>
        <v>0</v>
      </c>
      <c r="AF45">
        <f t="shared" si="59"/>
        <v>0</v>
      </c>
      <c r="AG45">
        <f t="shared" si="34"/>
        <v>0</v>
      </c>
      <c r="AH45">
        <f t="shared" si="60"/>
        <v>0</v>
      </c>
      <c r="AI45">
        <f t="shared" si="61"/>
        <v>0</v>
      </c>
      <c r="AJ45">
        <f t="shared" si="36"/>
        <v>0</v>
      </c>
      <c r="AK45">
        <v>7712</v>
      </c>
      <c r="AL45">
        <v>7712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93</v>
      </c>
      <c r="AU45">
        <v>62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6.72</v>
      </c>
      <c r="BH45">
        <v>3</v>
      </c>
      <c r="BI45">
        <v>1</v>
      </c>
      <c r="BJ45" t="s">
        <v>72</v>
      </c>
      <c r="BM45">
        <v>9001</v>
      </c>
      <c r="BN45">
        <v>0</v>
      </c>
      <c r="BO45" t="s">
        <v>37</v>
      </c>
      <c r="BP45">
        <v>1</v>
      </c>
      <c r="BQ45">
        <v>2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93</v>
      </c>
      <c r="CA45">
        <v>62</v>
      </c>
      <c r="CE45">
        <v>0</v>
      </c>
      <c r="CF45">
        <v>0</v>
      </c>
      <c r="CG45">
        <v>0</v>
      </c>
      <c r="CM45">
        <v>0</v>
      </c>
      <c r="CN45" t="s">
        <v>28</v>
      </c>
      <c r="CO45">
        <v>0</v>
      </c>
      <c r="CP45">
        <f t="shared" si="37"/>
        <v>0</v>
      </c>
      <c r="CQ45">
        <f t="shared" si="38"/>
        <v>51824.64</v>
      </c>
      <c r="CR45">
        <f t="shared" si="62"/>
        <v>0</v>
      </c>
      <c r="CS45">
        <f t="shared" si="39"/>
        <v>0</v>
      </c>
      <c r="CT45">
        <f t="shared" si="40"/>
        <v>0</v>
      </c>
      <c r="CU45">
        <f t="shared" si="41"/>
        <v>0</v>
      </c>
      <c r="CV45">
        <f t="shared" si="42"/>
        <v>0</v>
      </c>
      <c r="CW45">
        <f t="shared" si="43"/>
        <v>0</v>
      </c>
      <c r="CX45">
        <f t="shared" si="44"/>
        <v>0</v>
      </c>
      <c r="CY45">
        <f t="shared" si="45"/>
        <v>0</v>
      </c>
      <c r="CZ45">
        <f t="shared" si="46"/>
        <v>0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41</v>
      </c>
      <c r="DW45" t="s">
        <v>41</v>
      </c>
      <c r="DX45">
        <v>1000</v>
      </c>
      <c r="EE45">
        <v>55471659</v>
      </c>
      <c r="EF45">
        <v>2</v>
      </c>
      <c r="EG45" t="s">
        <v>31</v>
      </c>
      <c r="EH45">
        <v>9</v>
      </c>
      <c r="EI45" t="s">
        <v>32</v>
      </c>
      <c r="EJ45">
        <v>1</v>
      </c>
      <c r="EK45">
        <v>9001</v>
      </c>
      <c r="EL45" t="s">
        <v>32</v>
      </c>
      <c r="EM45" t="s">
        <v>33</v>
      </c>
      <c r="EO45" t="s">
        <v>34</v>
      </c>
      <c r="EQ45">
        <v>0</v>
      </c>
      <c r="ER45">
        <v>7712</v>
      </c>
      <c r="ES45">
        <v>7712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7"/>
        <v>0</v>
      </c>
      <c r="FS45">
        <v>0</v>
      </c>
      <c r="FX45">
        <v>93</v>
      </c>
      <c r="FY45">
        <v>62</v>
      </c>
      <c r="GD45">
        <v>1</v>
      </c>
      <c r="GF45">
        <v>-1915778085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48"/>
        <v>0</v>
      </c>
      <c r="GM45">
        <f t="shared" si="49"/>
        <v>0</v>
      </c>
      <c r="GN45">
        <f t="shared" si="50"/>
        <v>0</v>
      </c>
      <c r="GO45">
        <f t="shared" si="51"/>
        <v>0</v>
      </c>
      <c r="GP45">
        <f t="shared" si="52"/>
        <v>0</v>
      </c>
      <c r="GR45">
        <v>0</v>
      </c>
      <c r="GS45">
        <v>3</v>
      </c>
      <c r="GT45">
        <v>0</v>
      </c>
      <c r="GV45">
        <f t="shared" si="53"/>
        <v>0</v>
      </c>
      <c r="GW45">
        <v>1</v>
      </c>
      <c r="GX45">
        <f t="shared" si="54"/>
        <v>0</v>
      </c>
      <c r="HA45">
        <v>0</v>
      </c>
      <c r="HB45">
        <v>0</v>
      </c>
      <c r="HC45">
        <f t="shared" si="55"/>
        <v>0</v>
      </c>
      <c r="HM45" t="s">
        <v>29</v>
      </c>
      <c r="HN45" t="s">
        <v>35</v>
      </c>
      <c r="HO45" t="s">
        <v>36</v>
      </c>
      <c r="HP45" t="s">
        <v>32</v>
      </c>
      <c r="HQ45" t="s">
        <v>32</v>
      </c>
      <c r="IK45">
        <v>0</v>
      </c>
    </row>
    <row r="46" spans="1:255" ht="12.75">
      <c r="A46" s="2">
        <v>18</v>
      </c>
      <c r="B46" s="2">
        <v>1</v>
      </c>
      <c r="C46" s="2">
        <v>34</v>
      </c>
      <c r="D46" s="2"/>
      <c r="E46" s="2" t="s">
        <v>73</v>
      </c>
      <c r="F46" s="2" t="s">
        <v>74</v>
      </c>
      <c r="G46" s="2" t="s">
        <v>75</v>
      </c>
      <c r="H46" s="2" t="s">
        <v>76</v>
      </c>
      <c r="I46" s="2">
        <f>I30*J46</f>
        <v>0</v>
      </c>
      <c r="J46" s="2">
        <v>0</v>
      </c>
      <c r="K46" s="2">
        <v>-0.0187</v>
      </c>
      <c r="L46" s="2"/>
      <c r="M46" s="2"/>
      <c r="N46" s="2"/>
      <c r="O46" s="2">
        <f t="shared" si="21"/>
        <v>0</v>
      </c>
      <c r="P46" s="2">
        <f t="shared" si="22"/>
        <v>0</v>
      </c>
      <c r="Q46" s="2">
        <f t="shared" si="23"/>
        <v>0</v>
      </c>
      <c r="R46" s="2">
        <f t="shared" si="24"/>
        <v>0</v>
      </c>
      <c r="S46" s="2">
        <f t="shared" si="25"/>
        <v>0</v>
      </c>
      <c r="T46" s="2">
        <f t="shared" si="26"/>
        <v>0</v>
      </c>
      <c r="U46" s="2">
        <f t="shared" si="27"/>
        <v>0</v>
      </c>
      <c r="V46" s="2">
        <f t="shared" si="28"/>
        <v>0</v>
      </c>
      <c r="W46" s="2">
        <f t="shared" si="29"/>
        <v>0</v>
      </c>
      <c r="X46" s="2">
        <f t="shared" si="30"/>
        <v>0</v>
      </c>
      <c r="Y46" s="2">
        <f t="shared" si="31"/>
        <v>0</v>
      </c>
      <c r="Z46" s="2"/>
      <c r="AA46" s="2">
        <v>55656218</v>
      </c>
      <c r="AB46" s="2">
        <f t="shared" si="32"/>
        <v>50.24</v>
      </c>
      <c r="AC46" s="2">
        <f t="shared" si="56"/>
        <v>50.24</v>
      </c>
      <c r="AD46" s="2">
        <f t="shared" si="57"/>
        <v>0</v>
      </c>
      <c r="AE46" s="2">
        <f t="shared" si="58"/>
        <v>0</v>
      </c>
      <c r="AF46" s="2">
        <f t="shared" si="59"/>
        <v>0</v>
      </c>
      <c r="AG46" s="2">
        <f t="shared" si="34"/>
        <v>0</v>
      </c>
      <c r="AH46" s="2">
        <f t="shared" si="60"/>
        <v>0</v>
      </c>
      <c r="AI46" s="2">
        <f t="shared" si="61"/>
        <v>0</v>
      </c>
      <c r="AJ46" s="2">
        <f t="shared" si="36"/>
        <v>0</v>
      </c>
      <c r="AK46" s="2">
        <v>50.24</v>
      </c>
      <c r="AL46" s="2">
        <v>50.24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93</v>
      </c>
      <c r="AU46" s="2">
        <v>62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77</v>
      </c>
      <c r="BK46" s="2"/>
      <c r="BL46" s="2"/>
      <c r="BM46" s="2">
        <v>9001</v>
      </c>
      <c r="BN46" s="2">
        <v>0</v>
      </c>
      <c r="BO46" s="2" t="s">
        <v>3</v>
      </c>
      <c r="BP46" s="2">
        <v>0</v>
      </c>
      <c r="BQ46" s="2">
        <v>2</v>
      </c>
      <c r="BR46" s="2">
        <v>1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93</v>
      </c>
      <c r="CA46" s="2">
        <v>62</v>
      </c>
      <c r="CB46" s="2" t="s">
        <v>3</v>
      </c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28</v>
      </c>
      <c r="CO46" s="2">
        <v>0</v>
      </c>
      <c r="CP46" s="2">
        <f t="shared" si="37"/>
        <v>0</v>
      </c>
      <c r="CQ46" s="2">
        <f t="shared" si="38"/>
        <v>50.24</v>
      </c>
      <c r="CR46" s="2">
        <f t="shared" si="62"/>
        <v>0</v>
      </c>
      <c r="CS46" s="2">
        <f t="shared" si="39"/>
        <v>0</v>
      </c>
      <c r="CT46" s="2">
        <f t="shared" si="40"/>
        <v>0</v>
      </c>
      <c r="CU46" s="2">
        <f t="shared" si="41"/>
        <v>0</v>
      </c>
      <c r="CV46" s="2">
        <f t="shared" si="42"/>
        <v>0</v>
      </c>
      <c r="CW46" s="2">
        <f t="shared" si="43"/>
        <v>0</v>
      </c>
      <c r="CX46" s="2">
        <f t="shared" si="44"/>
        <v>0</v>
      </c>
      <c r="CY46" s="2">
        <f t="shared" si="45"/>
        <v>0</v>
      </c>
      <c r="CZ46" s="2">
        <f t="shared" si="46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76</v>
      </c>
      <c r="DW46" s="2" t="s">
        <v>76</v>
      </c>
      <c r="DX46" s="2">
        <v>10</v>
      </c>
      <c r="DY46" s="2"/>
      <c r="DZ46" s="2" t="s">
        <v>3</v>
      </c>
      <c r="EA46" s="2" t="s">
        <v>3</v>
      </c>
      <c r="EB46" s="2" t="s">
        <v>3</v>
      </c>
      <c r="EC46" s="2" t="s">
        <v>3</v>
      </c>
      <c r="ED46" s="2"/>
      <c r="EE46" s="2">
        <v>55471659</v>
      </c>
      <c r="EF46" s="2">
        <v>2</v>
      </c>
      <c r="EG46" s="2" t="s">
        <v>31</v>
      </c>
      <c r="EH46" s="2">
        <v>9</v>
      </c>
      <c r="EI46" s="2" t="s">
        <v>32</v>
      </c>
      <c r="EJ46" s="2">
        <v>1</v>
      </c>
      <c r="EK46" s="2">
        <v>9001</v>
      </c>
      <c r="EL46" s="2" t="s">
        <v>32</v>
      </c>
      <c r="EM46" s="2" t="s">
        <v>33</v>
      </c>
      <c r="EN46" s="2"/>
      <c r="EO46" s="2" t="s">
        <v>34</v>
      </c>
      <c r="EP46" s="2"/>
      <c r="EQ46" s="2">
        <v>0</v>
      </c>
      <c r="ER46" s="2">
        <v>50.24</v>
      </c>
      <c r="ES46" s="2">
        <v>50.24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7"/>
        <v>0</v>
      </c>
      <c r="FS46" s="2">
        <v>0</v>
      </c>
      <c r="FT46" s="2"/>
      <c r="FU46" s="2"/>
      <c r="FV46" s="2"/>
      <c r="FW46" s="2"/>
      <c r="FX46" s="2">
        <v>93</v>
      </c>
      <c r="FY46" s="2">
        <v>62</v>
      </c>
      <c r="FZ46" s="2"/>
      <c r="GA46" s="2" t="s">
        <v>3</v>
      </c>
      <c r="GB46" s="2"/>
      <c r="GC46" s="2"/>
      <c r="GD46" s="2">
        <v>1</v>
      </c>
      <c r="GE46" s="2"/>
      <c r="GF46" s="2">
        <v>581091037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8"/>
        <v>0</v>
      </c>
      <c r="GM46" s="2">
        <f t="shared" si="49"/>
        <v>0</v>
      </c>
      <c r="GN46" s="2">
        <f t="shared" si="50"/>
        <v>0</v>
      </c>
      <c r="GO46" s="2">
        <f t="shared" si="51"/>
        <v>0</v>
      </c>
      <c r="GP46" s="2">
        <f t="shared" si="52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3"/>
        <v>0</v>
      </c>
      <c r="GW46" s="2">
        <v>1</v>
      </c>
      <c r="GX46" s="2">
        <f t="shared" si="54"/>
        <v>0</v>
      </c>
      <c r="GY46" s="2"/>
      <c r="GZ46" s="2"/>
      <c r="HA46" s="2">
        <v>0</v>
      </c>
      <c r="HB46" s="2">
        <v>0</v>
      </c>
      <c r="HC46" s="2">
        <f t="shared" si="55"/>
        <v>0</v>
      </c>
      <c r="HD46" s="2"/>
      <c r="HE46" s="2" t="s">
        <v>3</v>
      </c>
      <c r="HF46" s="2" t="s">
        <v>3</v>
      </c>
      <c r="HG46" s="2"/>
      <c r="HH46" s="2"/>
      <c r="HI46" s="2"/>
      <c r="HJ46" s="2"/>
      <c r="HK46" s="2"/>
      <c r="HL46" s="2"/>
      <c r="HM46" s="2" t="s">
        <v>29</v>
      </c>
      <c r="HN46" s="2" t="s">
        <v>35</v>
      </c>
      <c r="HO46" s="2" t="s">
        <v>36</v>
      </c>
      <c r="HP46" s="2" t="s">
        <v>32</v>
      </c>
      <c r="HQ46" s="2" t="s">
        <v>32</v>
      </c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45" ht="12.75">
      <c r="A47">
        <v>18</v>
      </c>
      <c r="B47">
        <v>1</v>
      </c>
      <c r="C47">
        <v>55</v>
      </c>
      <c r="E47" t="s">
        <v>73</v>
      </c>
      <c r="F47" t="s">
        <v>74</v>
      </c>
      <c r="G47" t="s">
        <v>75</v>
      </c>
      <c r="H47" t="s">
        <v>76</v>
      </c>
      <c r="I47">
        <f>I31*J47</f>
        <v>0</v>
      </c>
      <c r="J47">
        <v>0</v>
      </c>
      <c r="K47">
        <v>-0.0187</v>
      </c>
      <c r="O47">
        <f t="shared" si="21"/>
        <v>0</v>
      </c>
      <c r="P47">
        <f t="shared" si="22"/>
        <v>0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0</v>
      </c>
      <c r="X47">
        <f t="shared" si="30"/>
        <v>0</v>
      </c>
      <c r="Y47">
        <f t="shared" si="31"/>
        <v>0</v>
      </c>
      <c r="AA47">
        <v>55657272</v>
      </c>
      <c r="AB47">
        <f t="shared" si="32"/>
        <v>50.24</v>
      </c>
      <c r="AC47">
        <f t="shared" si="56"/>
        <v>50.24</v>
      </c>
      <c r="AD47">
        <f t="shared" si="57"/>
        <v>0</v>
      </c>
      <c r="AE47">
        <f t="shared" si="58"/>
        <v>0</v>
      </c>
      <c r="AF47">
        <f t="shared" si="59"/>
        <v>0</v>
      </c>
      <c r="AG47">
        <f t="shared" si="34"/>
        <v>0</v>
      </c>
      <c r="AH47">
        <f t="shared" si="60"/>
        <v>0</v>
      </c>
      <c r="AI47">
        <f t="shared" si="61"/>
        <v>0</v>
      </c>
      <c r="AJ47">
        <f t="shared" si="36"/>
        <v>0</v>
      </c>
      <c r="AK47">
        <v>50.24</v>
      </c>
      <c r="AL47">
        <v>50.24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93</v>
      </c>
      <c r="AU47">
        <v>62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6.72</v>
      </c>
      <c r="BH47">
        <v>3</v>
      </c>
      <c r="BI47">
        <v>1</v>
      </c>
      <c r="BJ47" t="s">
        <v>77</v>
      </c>
      <c r="BM47">
        <v>9001</v>
      </c>
      <c r="BN47">
        <v>0</v>
      </c>
      <c r="BO47" t="s">
        <v>37</v>
      </c>
      <c r="BP47">
        <v>1</v>
      </c>
      <c r="BQ47">
        <v>2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93</v>
      </c>
      <c r="CA47">
        <v>62</v>
      </c>
      <c r="CE47">
        <v>0</v>
      </c>
      <c r="CF47">
        <v>0</v>
      </c>
      <c r="CG47">
        <v>0</v>
      </c>
      <c r="CM47">
        <v>0</v>
      </c>
      <c r="CN47" t="s">
        <v>28</v>
      </c>
      <c r="CO47">
        <v>0</v>
      </c>
      <c r="CP47">
        <f t="shared" si="37"/>
        <v>0</v>
      </c>
      <c r="CQ47">
        <f t="shared" si="38"/>
        <v>337.6128</v>
      </c>
      <c r="CR47">
        <f t="shared" si="62"/>
        <v>0</v>
      </c>
      <c r="CS47">
        <f t="shared" si="39"/>
        <v>0</v>
      </c>
      <c r="CT47">
        <f t="shared" si="40"/>
        <v>0</v>
      </c>
      <c r="CU47">
        <f t="shared" si="41"/>
        <v>0</v>
      </c>
      <c r="CV47">
        <f t="shared" si="42"/>
        <v>0</v>
      </c>
      <c r="CW47">
        <f t="shared" si="43"/>
        <v>0</v>
      </c>
      <c r="CX47">
        <f t="shared" si="44"/>
        <v>0</v>
      </c>
      <c r="CY47">
        <f t="shared" si="45"/>
        <v>0</v>
      </c>
      <c r="CZ47">
        <f t="shared" si="46"/>
        <v>0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76</v>
      </c>
      <c r="DW47" t="s">
        <v>76</v>
      </c>
      <c r="DX47">
        <v>10</v>
      </c>
      <c r="EE47">
        <v>55471659</v>
      </c>
      <c r="EF47">
        <v>2</v>
      </c>
      <c r="EG47" t="s">
        <v>31</v>
      </c>
      <c r="EH47">
        <v>9</v>
      </c>
      <c r="EI47" t="s">
        <v>32</v>
      </c>
      <c r="EJ47">
        <v>1</v>
      </c>
      <c r="EK47">
        <v>9001</v>
      </c>
      <c r="EL47" t="s">
        <v>32</v>
      </c>
      <c r="EM47" t="s">
        <v>33</v>
      </c>
      <c r="EO47" t="s">
        <v>34</v>
      </c>
      <c r="EQ47">
        <v>0</v>
      </c>
      <c r="ER47">
        <v>50.24</v>
      </c>
      <c r="ES47">
        <v>50.24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7"/>
        <v>0</v>
      </c>
      <c r="FS47">
        <v>0</v>
      </c>
      <c r="FX47">
        <v>93</v>
      </c>
      <c r="FY47">
        <v>62</v>
      </c>
      <c r="GD47">
        <v>1</v>
      </c>
      <c r="GF47">
        <v>581091037</v>
      </c>
      <c r="GG47">
        <v>2</v>
      </c>
      <c r="GH47">
        <v>1</v>
      </c>
      <c r="GI47">
        <v>4</v>
      </c>
      <c r="GJ47">
        <v>0</v>
      </c>
      <c r="GK47">
        <v>0</v>
      </c>
      <c r="GL47">
        <f t="shared" si="48"/>
        <v>0</v>
      </c>
      <c r="GM47">
        <f t="shared" si="49"/>
        <v>0</v>
      </c>
      <c r="GN47">
        <f t="shared" si="50"/>
        <v>0</v>
      </c>
      <c r="GO47">
        <f t="shared" si="51"/>
        <v>0</v>
      </c>
      <c r="GP47">
        <f t="shared" si="52"/>
        <v>0</v>
      </c>
      <c r="GR47">
        <v>0</v>
      </c>
      <c r="GS47">
        <v>3</v>
      </c>
      <c r="GT47">
        <v>0</v>
      </c>
      <c r="GV47">
        <f t="shared" si="53"/>
        <v>0</v>
      </c>
      <c r="GW47">
        <v>1</v>
      </c>
      <c r="GX47">
        <f t="shared" si="54"/>
        <v>0</v>
      </c>
      <c r="HA47">
        <v>0</v>
      </c>
      <c r="HB47">
        <v>0</v>
      </c>
      <c r="HC47">
        <f t="shared" si="55"/>
        <v>0</v>
      </c>
      <c r="HM47" t="s">
        <v>29</v>
      </c>
      <c r="HN47" t="s">
        <v>35</v>
      </c>
      <c r="HO47" t="s">
        <v>36</v>
      </c>
      <c r="HP47" t="s">
        <v>32</v>
      </c>
      <c r="HQ47" t="s">
        <v>32</v>
      </c>
      <c r="IK47">
        <v>0</v>
      </c>
    </row>
    <row r="48" spans="1:255" ht="12.75">
      <c r="A48" s="2">
        <v>18</v>
      </c>
      <c r="B48" s="2">
        <v>1</v>
      </c>
      <c r="C48" s="2">
        <v>35</v>
      </c>
      <c r="D48" s="2"/>
      <c r="E48" s="2" t="s">
        <v>78</v>
      </c>
      <c r="F48" s="2" t="s">
        <v>79</v>
      </c>
      <c r="G48" s="2" t="s">
        <v>80</v>
      </c>
      <c r="H48" s="2" t="s">
        <v>41</v>
      </c>
      <c r="I48" s="2">
        <f>I30*J48</f>
        <v>0</v>
      </c>
      <c r="J48" s="2">
        <v>0</v>
      </c>
      <c r="K48" s="2">
        <v>-3E-05</v>
      </c>
      <c r="L48" s="2"/>
      <c r="M48" s="2"/>
      <c r="N48" s="2"/>
      <c r="O48" s="2">
        <f t="shared" si="21"/>
        <v>0</v>
      </c>
      <c r="P48" s="2">
        <f t="shared" si="22"/>
        <v>0</v>
      </c>
      <c r="Q48" s="2">
        <f t="shared" si="23"/>
        <v>0</v>
      </c>
      <c r="R48" s="2">
        <f t="shared" si="24"/>
        <v>0</v>
      </c>
      <c r="S48" s="2">
        <f t="shared" si="25"/>
        <v>0</v>
      </c>
      <c r="T48" s="2">
        <f t="shared" si="26"/>
        <v>0</v>
      </c>
      <c r="U48" s="2">
        <f t="shared" si="27"/>
        <v>0</v>
      </c>
      <c r="V48" s="2">
        <f t="shared" si="28"/>
        <v>0</v>
      </c>
      <c r="W48" s="2">
        <f t="shared" si="29"/>
        <v>0</v>
      </c>
      <c r="X48" s="2">
        <f t="shared" si="30"/>
        <v>0</v>
      </c>
      <c r="Y48" s="2">
        <f t="shared" si="31"/>
        <v>0</v>
      </c>
      <c r="Z48" s="2"/>
      <c r="AA48" s="2">
        <v>55656218</v>
      </c>
      <c r="AB48" s="2">
        <f t="shared" si="32"/>
        <v>4455.2</v>
      </c>
      <c r="AC48" s="2">
        <f t="shared" si="56"/>
        <v>4455.2</v>
      </c>
      <c r="AD48" s="2">
        <f t="shared" si="57"/>
        <v>0</v>
      </c>
      <c r="AE48" s="2">
        <f t="shared" si="58"/>
        <v>0</v>
      </c>
      <c r="AF48" s="2">
        <f t="shared" si="59"/>
        <v>0</v>
      </c>
      <c r="AG48" s="2">
        <f t="shared" si="34"/>
        <v>0</v>
      </c>
      <c r="AH48" s="2">
        <f t="shared" si="60"/>
        <v>0</v>
      </c>
      <c r="AI48" s="2">
        <f t="shared" si="61"/>
        <v>0</v>
      </c>
      <c r="AJ48" s="2">
        <f t="shared" si="36"/>
        <v>0</v>
      </c>
      <c r="AK48" s="2">
        <v>4455.2</v>
      </c>
      <c r="AL48" s="2">
        <v>4455.2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93</v>
      </c>
      <c r="AU48" s="2">
        <v>62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81</v>
      </c>
      <c r="BK48" s="2"/>
      <c r="BL48" s="2"/>
      <c r="BM48" s="2">
        <v>9001</v>
      </c>
      <c r="BN48" s="2">
        <v>0</v>
      </c>
      <c r="BO48" s="2" t="s">
        <v>3</v>
      </c>
      <c r="BP48" s="2">
        <v>0</v>
      </c>
      <c r="BQ48" s="2">
        <v>2</v>
      </c>
      <c r="BR48" s="2">
        <v>1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93</v>
      </c>
      <c r="CA48" s="2">
        <v>62</v>
      </c>
      <c r="CB48" s="2" t="s">
        <v>3</v>
      </c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28</v>
      </c>
      <c r="CO48" s="2">
        <v>0</v>
      </c>
      <c r="CP48" s="2">
        <f t="shared" si="37"/>
        <v>0</v>
      </c>
      <c r="CQ48" s="2">
        <f t="shared" si="38"/>
        <v>4455.2</v>
      </c>
      <c r="CR48" s="2">
        <f t="shared" si="62"/>
        <v>0</v>
      </c>
      <c r="CS48" s="2">
        <f t="shared" si="39"/>
        <v>0</v>
      </c>
      <c r="CT48" s="2">
        <f t="shared" si="40"/>
        <v>0</v>
      </c>
      <c r="CU48" s="2">
        <f t="shared" si="41"/>
        <v>0</v>
      </c>
      <c r="CV48" s="2">
        <f t="shared" si="42"/>
        <v>0</v>
      </c>
      <c r="CW48" s="2">
        <f t="shared" si="43"/>
        <v>0</v>
      </c>
      <c r="CX48" s="2">
        <f t="shared" si="44"/>
        <v>0</v>
      </c>
      <c r="CY48" s="2">
        <f t="shared" si="45"/>
        <v>0</v>
      </c>
      <c r="CZ48" s="2">
        <f t="shared" si="46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41</v>
      </c>
      <c r="DW48" s="2" t="s">
        <v>41</v>
      </c>
      <c r="DX48" s="2">
        <v>1000</v>
      </c>
      <c r="DY48" s="2"/>
      <c r="DZ48" s="2" t="s">
        <v>3</v>
      </c>
      <c r="EA48" s="2" t="s">
        <v>3</v>
      </c>
      <c r="EB48" s="2" t="s">
        <v>3</v>
      </c>
      <c r="EC48" s="2" t="s">
        <v>3</v>
      </c>
      <c r="ED48" s="2"/>
      <c r="EE48" s="2">
        <v>55471659</v>
      </c>
      <c r="EF48" s="2">
        <v>2</v>
      </c>
      <c r="EG48" s="2" t="s">
        <v>31</v>
      </c>
      <c r="EH48" s="2">
        <v>9</v>
      </c>
      <c r="EI48" s="2" t="s">
        <v>32</v>
      </c>
      <c r="EJ48" s="2">
        <v>1</v>
      </c>
      <c r="EK48" s="2">
        <v>9001</v>
      </c>
      <c r="EL48" s="2" t="s">
        <v>32</v>
      </c>
      <c r="EM48" s="2" t="s">
        <v>33</v>
      </c>
      <c r="EN48" s="2"/>
      <c r="EO48" s="2" t="s">
        <v>34</v>
      </c>
      <c r="EP48" s="2"/>
      <c r="EQ48" s="2">
        <v>0</v>
      </c>
      <c r="ER48" s="2">
        <v>4455.2</v>
      </c>
      <c r="ES48" s="2">
        <v>4455.2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7"/>
        <v>0</v>
      </c>
      <c r="FS48" s="2">
        <v>0</v>
      </c>
      <c r="FT48" s="2"/>
      <c r="FU48" s="2"/>
      <c r="FV48" s="2"/>
      <c r="FW48" s="2"/>
      <c r="FX48" s="2">
        <v>93</v>
      </c>
      <c r="FY48" s="2">
        <v>62</v>
      </c>
      <c r="FZ48" s="2"/>
      <c r="GA48" s="2" t="s">
        <v>3</v>
      </c>
      <c r="GB48" s="2"/>
      <c r="GC48" s="2"/>
      <c r="GD48" s="2">
        <v>1</v>
      </c>
      <c r="GE48" s="2"/>
      <c r="GF48" s="2">
        <v>-120483918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8"/>
        <v>0</v>
      </c>
      <c r="GM48" s="2">
        <f t="shared" si="49"/>
        <v>0</v>
      </c>
      <c r="GN48" s="2">
        <f t="shared" si="50"/>
        <v>0</v>
      </c>
      <c r="GO48" s="2">
        <f t="shared" si="51"/>
        <v>0</v>
      </c>
      <c r="GP48" s="2">
        <f t="shared" si="52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3"/>
        <v>0</v>
      </c>
      <c r="GW48" s="2">
        <v>1</v>
      </c>
      <c r="GX48" s="2">
        <f t="shared" si="54"/>
        <v>0</v>
      </c>
      <c r="GY48" s="2"/>
      <c r="GZ48" s="2"/>
      <c r="HA48" s="2">
        <v>0</v>
      </c>
      <c r="HB48" s="2">
        <v>0</v>
      </c>
      <c r="HC48" s="2">
        <f t="shared" si="55"/>
        <v>0</v>
      </c>
      <c r="HD48" s="2"/>
      <c r="HE48" s="2" t="s">
        <v>3</v>
      </c>
      <c r="HF48" s="2" t="s">
        <v>3</v>
      </c>
      <c r="HG48" s="2"/>
      <c r="HH48" s="2"/>
      <c r="HI48" s="2"/>
      <c r="HJ48" s="2"/>
      <c r="HK48" s="2"/>
      <c r="HL48" s="2"/>
      <c r="HM48" s="2" t="s">
        <v>29</v>
      </c>
      <c r="HN48" s="2" t="s">
        <v>35</v>
      </c>
      <c r="HO48" s="2" t="s">
        <v>36</v>
      </c>
      <c r="HP48" s="2" t="s">
        <v>32</v>
      </c>
      <c r="HQ48" s="2" t="s">
        <v>32</v>
      </c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45" ht="12.75">
      <c r="A49">
        <v>18</v>
      </c>
      <c r="B49">
        <v>1</v>
      </c>
      <c r="C49">
        <v>56</v>
      </c>
      <c r="E49" t="s">
        <v>78</v>
      </c>
      <c r="F49" t="s">
        <v>79</v>
      </c>
      <c r="G49" t="s">
        <v>80</v>
      </c>
      <c r="H49" t="s">
        <v>41</v>
      </c>
      <c r="I49">
        <f>I31*J49</f>
        <v>0</v>
      </c>
      <c r="J49">
        <v>0</v>
      </c>
      <c r="K49">
        <v>-3E-05</v>
      </c>
      <c r="O49">
        <f t="shared" si="21"/>
        <v>0</v>
      </c>
      <c r="P49">
        <f t="shared" si="22"/>
        <v>0</v>
      </c>
      <c r="Q49">
        <f t="shared" si="23"/>
        <v>0</v>
      </c>
      <c r="R49">
        <f t="shared" si="24"/>
        <v>0</v>
      </c>
      <c r="S49">
        <f t="shared" si="25"/>
        <v>0</v>
      </c>
      <c r="T49">
        <f t="shared" si="26"/>
        <v>0</v>
      </c>
      <c r="U49">
        <f t="shared" si="27"/>
        <v>0</v>
      </c>
      <c r="V49">
        <f t="shared" si="28"/>
        <v>0</v>
      </c>
      <c r="W49">
        <f t="shared" si="29"/>
        <v>0</v>
      </c>
      <c r="X49">
        <f t="shared" si="30"/>
        <v>0</v>
      </c>
      <c r="Y49">
        <f t="shared" si="31"/>
        <v>0</v>
      </c>
      <c r="AA49">
        <v>55657272</v>
      </c>
      <c r="AB49">
        <f t="shared" si="32"/>
        <v>4455.2</v>
      </c>
      <c r="AC49">
        <f t="shared" si="56"/>
        <v>4455.2</v>
      </c>
      <c r="AD49">
        <f t="shared" si="57"/>
        <v>0</v>
      </c>
      <c r="AE49">
        <f t="shared" si="58"/>
        <v>0</v>
      </c>
      <c r="AF49">
        <f t="shared" si="59"/>
        <v>0</v>
      </c>
      <c r="AG49">
        <f t="shared" si="34"/>
        <v>0</v>
      </c>
      <c r="AH49">
        <f t="shared" si="60"/>
        <v>0</v>
      </c>
      <c r="AI49">
        <f t="shared" si="61"/>
        <v>0</v>
      </c>
      <c r="AJ49">
        <f t="shared" si="36"/>
        <v>0</v>
      </c>
      <c r="AK49">
        <v>4455.2</v>
      </c>
      <c r="AL49">
        <v>4455.2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93</v>
      </c>
      <c r="AU49">
        <v>62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6.72</v>
      </c>
      <c r="BH49">
        <v>3</v>
      </c>
      <c r="BI49">
        <v>1</v>
      </c>
      <c r="BJ49" t="s">
        <v>81</v>
      </c>
      <c r="BM49">
        <v>9001</v>
      </c>
      <c r="BN49">
        <v>0</v>
      </c>
      <c r="BO49" t="s">
        <v>37</v>
      </c>
      <c r="BP49">
        <v>1</v>
      </c>
      <c r="BQ49">
        <v>2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93</v>
      </c>
      <c r="CA49">
        <v>62</v>
      </c>
      <c r="CE49">
        <v>0</v>
      </c>
      <c r="CF49">
        <v>0</v>
      </c>
      <c r="CG49">
        <v>0</v>
      </c>
      <c r="CM49">
        <v>0</v>
      </c>
      <c r="CN49" t="s">
        <v>28</v>
      </c>
      <c r="CO49">
        <v>0</v>
      </c>
      <c r="CP49">
        <f t="shared" si="37"/>
        <v>0</v>
      </c>
      <c r="CQ49">
        <f t="shared" si="38"/>
        <v>29938.943999999996</v>
      </c>
      <c r="CR49">
        <f t="shared" si="62"/>
        <v>0</v>
      </c>
      <c r="CS49">
        <f t="shared" si="39"/>
        <v>0</v>
      </c>
      <c r="CT49">
        <f t="shared" si="40"/>
        <v>0</v>
      </c>
      <c r="CU49">
        <f t="shared" si="41"/>
        <v>0</v>
      </c>
      <c r="CV49">
        <f t="shared" si="42"/>
        <v>0</v>
      </c>
      <c r="CW49">
        <f t="shared" si="43"/>
        <v>0</v>
      </c>
      <c r="CX49">
        <f t="shared" si="44"/>
        <v>0</v>
      </c>
      <c r="CY49">
        <f t="shared" si="45"/>
        <v>0</v>
      </c>
      <c r="CZ49">
        <f t="shared" si="46"/>
        <v>0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41</v>
      </c>
      <c r="DW49" t="s">
        <v>41</v>
      </c>
      <c r="DX49">
        <v>1000</v>
      </c>
      <c r="EE49">
        <v>55471659</v>
      </c>
      <c r="EF49">
        <v>2</v>
      </c>
      <c r="EG49" t="s">
        <v>31</v>
      </c>
      <c r="EH49">
        <v>9</v>
      </c>
      <c r="EI49" t="s">
        <v>32</v>
      </c>
      <c r="EJ49">
        <v>1</v>
      </c>
      <c r="EK49">
        <v>9001</v>
      </c>
      <c r="EL49" t="s">
        <v>32</v>
      </c>
      <c r="EM49" t="s">
        <v>33</v>
      </c>
      <c r="EO49" t="s">
        <v>34</v>
      </c>
      <c r="EQ49">
        <v>0</v>
      </c>
      <c r="ER49">
        <v>4455.2</v>
      </c>
      <c r="ES49">
        <v>4455.2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7"/>
        <v>0</v>
      </c>
      <c r="FS49">
        <v>0</v>
      </c>
      <c r="FX49">
        <v>93</v>
      </c>
      <c r="FY49">
        <v>62</v>
      </c>
      <c r="GD49">
        <v>1</v>
      </c>
      <c r="GF49">
        <v>-120483918</v>
      </c>
      <c r="GG49">
        <v>2</v>
      </c>
      <c r="GH49">
        <v>1</v>
      </c>
      <c r="GI49">
        <v>4</v>
      </c>
      <c r="GJ49">
        <v>0</v>
      </c>
      <c r="GK49">
        <v>0</v>
      </c>
      <c r="GL49">
        <f t="shared" si="48"/>
        <v>0</v>
      </c>
      <c r="GM49">
        <f t="shared" si="49"/>
        <v>0</v>
      </c>
      <c r="GN49">
        <f t="shared" si="50"/>
        <v>0</v>
      </c>
      <c r="GO49">
        <f t="shared" si="51"/>
        <v>0</v>
      </c>
      <c r="GP49">
        <f t="shared" si="52"/>
        <v>0</v>
      </c>
      <c r="GR49">
        <v>0</v>
      </c>
      <c r="GS49">
        <v>3</v>
      </c>
      <c r="GT49">
        <v>0</v>
      </c>
      <c r="GV49">
        <f t="shared" si="53"/>
        <v>0</v>
      </c>
      <c r="GW49">
        <v>1</v>
      </c>
      <c r="GX49">
        <f t="shared" si="54"/>
        <v>0</v>
      </c>
      <c r="HA49">
        <v>0</v>
      </c>
      <c r="HB49">
        <v>0</v>
      </c>
      <c r="HC49">
        <f t="shared" si="55"/>
        <v>0</v>
      </c>
      <c r="HM49" t="s">
        <v>29</v>
      </c>
      <c r="HN49" t="s">
        <v>35</v>
      </c>
      <c r="HO49" t="s">
        <v>36</v>
      </c>
      <c r="HP49" t="s">
        <v>32</v>
      </c>
      <c r="HQ49" t="s">
        <v>32</v>
      </c>
      <c r="IK49">
        <v>0</v>
      </c>
    </row>
    <row r="50" spans="1:255" ht="12.75">
      <c r="A50" s="2">
        <v>18</v>
      </c>
      <c r="B50" s="2">
        <v>1</v>
      </c>
      <c r="C50" s="2">
        <v>36</v>
      </c>
      <c r="D50" s="2"/>
      <c r="E50" s="2" t="s">
        <v>82</v>
      </c>
      <c r="F50" s="2" t="s">
        <v>83</v>
      </c>
      <c r="G50" s="2" t="s">
        <v>84</v>
      </c>
      <c r="H50" s="2" t="s">
        <v>41</v>
      </c>
      <c r="I50" s="2">
        <f>I30*J50</f>
        <v>0</v>
      </c>
      <c r="J50" s="2">
        <v>0</v>
      </c>
      <c r="K50" s="2">
        <v>-0.00194</v>
      </c>
      <c r="L50" s="2"/>
      <c r="M50" s="2"/>
      <c r="N50" s="2"/>
      <c r="O50" s="2">
        <f t="shared" si="21"/>
        <v>0</v>
      </c>
      <c r="P50" s="2">
        <f t="shared" si="22"/>
        <v>0</v>
      </c>
      <c r="Q50" s="2">
        <f t="shared" si="23"/>
        <v>0</v>
      </c>
      <c r="R50" s="2">
        <f t="shared" si="24"/>
        <v>0</v>
      </c>
      <c r="S50" s="2">
        <f t="shared" si="25"/>
        <v>0</v>
      </c>
      <c r="T50" s="2">
        <f t="shared" si="26"/>
        <v>0</v>
      </c>
      <c r="U50" s="2">
        <f t="shared" si="27"/>
        <v>0</v>
      </c>
      <c r="V50" s="2">
        <f t="shared" si="28"/>
        <v>0</v>
      </c>
      <c r="W50" s="2">
        <f t="shared" si="29"/>
        <v>0</v>
      </c>
      <c r="X50" s="2">
        <f t="shared" si="30"/>
        <v>0</v>
      </c>
      <c r="Y50" s="2">
        <f t="shared" si="31"/>
        <v>0</v>
      </c>
      <c r="Z50" s="2"/>
      <c r="AA50" s="2">
        <v>55656218</v>
      </c>
      <c r="AB50" s="2">
        <f t="shared" si="32"/>
        <v>4920</v>
      </c>
      <c r="AC50" s="2">
        <f t="shared" si="56"/>
        <v>4920</v>
      </c>
      <c r="AD50" s="2">
        <f t="shared" si="57"/>
        <v>0</v>
      </c>
      <c r="AE50" s="2">
        <f t="shared" si="58"/>
        <v>0</v>
      </c>
      <c r="AF50" s="2">
        <f t="shared" si="59"/>
        <v>0</v>
      </c>
      <c r="AG50" s="2">
        <f t="shared" si="34"/>
        <v>0</v>
      </c>
      <c r="AH50" s="2">
        <f t="shared" si="60"/>
        <v>0</v>
      </c>
      <c r="AI50" s="2">
        <f t="shared" si="61"/>
        <v>0</v>
      </c>
      <c r="AJ50" s="2">
        <f t="shared" si="36"/>
        <v>0</v>
      </c>
      <c r="AK50" s="2">
        <v>4920</v>
      </c>
      <c r="AL50" s="2">
        <v>4920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93</v>
      </c>
      <c r="AU50" s="2">
        <v>62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85</v>
      </c>
      <c r="BK50" s="2"/>
      <c r="BL50" s="2"/>
      <c r="BM50" s="2">
        <v>9001</v>
      </c>
      <c r="BN50" s="2">
        <v>0</v>
      </c>
      <c r="BO50" s="2" t="s">
        <v>3</v>
      </c>
      <c r="BP50" s="2">
        <v>0</v>
      </c>
      <c r="BQ50" s="2">
        <v>2</v>
      </c>
      <c r="BR50" s="2">
        <v>1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93</v>
      </c>
      <c r="CA50" s="2">
        <v>62</v>
      </c>
      <c r="CB50" s="2" t="s">
        <v>3</v>
      </c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28</v>
      </c>
      <c r="CO50" s="2">
        <v>0</v>
      </c>
      <c r="CP50" s="2">
        <f t="shared" si="37"/>
        <v>0</v>
      </c>
      <c r="CQ50" s="2">
        <f t="shared" si="38"/>
        <v>4920</v>
      </c>
      <c r="CR50" s="2">
        <f t="shared" si="62"/>
        <v>0</v>
      </c>
      <c r="CS50" s="2">
        <f t="shared" si="39"/>
        <v>0</v>
      </c>
      <c r="CT50" s="2">
        <f t="shared" si="40"/>
        <v>0</v>
      </c>
      <c r="CU50" s="2">
        <f t="shared" si="41"/>
        <v>0</v>
      </c>
      <c r="CV50" s="2">
        <f t="shared" si="42"/>
        <v>0</v>
      </c>
      <c r="CW50" s="2">
        <f t="shared" si="43"/>
        <v>0</v>
      </c>
      <c r="CX50" s="2">
        <f t="shared" si="44"/>
        <v>0</v>
      </c>
      <c r="CY50" s="2">
        <f t="shared" si="45"/>
        <v>0</v>
      </c>
      <c r="CZ50" s="2">
        <f t="shared" si="46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41</v>
      </c>
      <c r="DW50" s="2" t="s">
        <v>41</v>
      </c>
      <c r="DX50" s="2">
        <v>1000</v>
      </c>
      <c r="DY50" s="2"/>
      <c r="DZ50" s="2" t="s">
        <v>3</v>
      </c>
      <c r="EA50" s="2" t="s">
        <v>3</v>
      </c>
      <c r="EB50" s="2" t="s">
        <v>3</v>
      </c>
      <c r="EC50" s="2" t="s">
        <v>3</v>
      </c>
      <c r="ED50" s="2"/>
      <c r="EE50" s="2">
        <v>55471659</v>
      </c>
      <c r="EF50" s="2">
        <v>2</v>
      </c>
      <c r="EG50" s="2" t="s">
        <v>31</v>
      </c>
      <c r="EH50" s="2">
        <v>9</v>
      </c>
      <c r="EI50" s="2" t="s">
        <v>32</v>
      </c>
      <c r="EJ50" s="2">
        <v>1</v>
      </c>
      <c r="EK50" s="2">
        <v>9001</v>
      </c>
      <c r="EL50" s="2" t="s">
        <v>32</v>
      </c>
      <c r="EM50" s="2" t="s">
        <v>33</v>
      </c>
      <c r="EN50" s="2"/>
      <c r="EO50" s="2" t="s">
        <v>34</v>
      </c>
      <c r="EP50" s="2"/>
      <c r="EQ50" s="2">
        <v>0</v>
      </c>
      <c r="ER50" s="2">
        <v>4920</v>
      </c>
      <c r="ES50" s="2">
        <v>4920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7"/>
        <v>0</v>
      </c>
      <c r="FS50" s="2">
        <v>0</v>
      </c>
      <c r="FT50" s="2"/>
      <c r="FU50" s="2"/>
      <c r="FV50" s="2"/>
      <c r="FW50" s="2"/>
      <c r="FX50" s="2">
        <v>93</v>
      </c>
      <c r="FY50" s="2">
        <v>62</v>
      </c>
      <c r="FZ50" s="2"/>
      <c r="GA50" s="2" t="s">
        <v>3</v>
      </c>
      <c r="GB50" s="2"/>
      <c r="GC50" s="2"/>
      <c r="GD50" s="2">
        <v>1</v>
      </c>
      <c r="GE50" s="2"/>
      <c r="GF50" s="2">
        <v>834877976</v>
      </c>
      <c r="GG50" s="2">
        <v>2</v>
      </c>
      <c r="GH50" s="2">
        <v>1</v>
      </c>
      <c r="GI50" s="2">
        <v>-2</v>
      </c>
      <c r="GJ50" s="2">
        <v>0</v>
      </c>
      <c r="GK50" s="2">
        <v>0</v>
      </c>
      <c r="GL50" s="2">
        <f t="shared" si="48"/>
        <v>0</v>
      </c>
      <c r="GM50" s="2">
        <f t="shared" si="49"/>
        <v>0</v>
      </c>
      <c r="GN50" s="2">
        <f t="shared" si="50"/>
        <v>0</v>
      </c>
      <c r="GO50" s="2">
        <f t="shared" si="51"/>
        <v>0</v>
      </c>
      <c r="GP50" s="2">
        <f t="shared" si="52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3"/>
        <v>0</v>
      </c>
      <c r="GW50" s="2">
        <v>1</v>
      </c>
      <c r="GX50" s="2">
        <f t="shared" si="54"/>
        <v>0</v>
      </c>
      <c r="GY50" s="2"/>
      <c r="GZ50" s="2"/>
      <c r="HA50" s="2">
        <v>0</v>
      </c>
      <c r="HB50" s="2">
        <v>0</v>
      </c>
      <c r="HC50" s="2">
        <f t="shared" si="55"/>
        <v>0</v>
      </c>
      <c r="HD50" s="2"/>
      <c r="HE50" s="2" t="s">
        <v>3</v>
      </c>
      <c r="HF50" s="2" t="s">
        <v>3</v>
      </c>
      <c r="HG50" s="2"/>
      <c r="HH50" s="2"/>
      <c r="HI50" s="2"/>
      <c r="HJ50" s="2"/>
      <c r="HK50" s="2"/>
      <c r="HL50" s="2"/>
      <c r="HM50" s="2" t="s">
        <v>29</v>
      </c>
      <c r="HN50" s="2" t="s">
        <v>35</v>
      </c>
      <c r="HO50" s="2" t="s">
        <v>36</v>
      </c>
      <c r="HP50" s="2" t="s">
        <v>32</v>
      </c>
      <c r="HQ50" s="2" t="s">
        <v>32</v>
      </c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45" ht="12.75">
      <c r="A51">
        <v>18</v>
      </c>
      <c r="B51">
        <v>1</v>
      </c>
      <c r="C51">
        <v>57</v>
      </c>
      <c r="E51" t="s">
        <v>82</v>
      </c>
      <c r="F51" t="s">
        <v>83</v>
      </c>
      <c r="G51" t="s">
        <v>84</v>
      </c>
      <c r="H51" t="s">
        <v>41</v>
      </c>
      <c r="I51">
        <f>I31*J51</f>
        <v>0</v>
      </c>
      <c r="J51">
        <v>0</v>
      </c>
      <c r="K51">
        <v>-0.00194</v>
      </c>
      <c r="O51">
        <f t="shared" si="21"/>
        <v>0</v>
      </c>
      <c r="P51">
        <f t="shared" si="22"/>
        <v>0</v>
      </c>
      <c r="Q51">
        <f t="shared" si="23"/>
        <v>0</v>
      </c>
      <c r="R51">
        <f t="shared" si="24"/>
        <v>0</v>
      </c>
      <c r="S51">
        <f t="shared" si="25"/>
        <v>0</v>
      </c>
      <c r="T51">
        <f t="shared" si="26"/>
        <v>0</v>
      </c>
      <c r="U51">
        <f t="shared" si="27"/>
        <v>0</v>
      </c>
      <c r="V51">
        <f t="shared" si="28"/>
        <v>0</v>
      </c>
      <c r="W51">
        <f t="shared" si="29"/>
        <v>0</v>
      </c>
      <c r="X51">
        <f t="shared" si="30"/>
        <v>0</v>
      </c>
      <c r="Y51">
        <f t="shared" si="31"/>
        <v>0</v>
      </c>
      <c r="AA51">
        <v>55657272</v>
      </c>
      <c r="AB51">
        <f t="shared" si="32"/>
        <v>4920</v>
      </c>
      <c r="AC51">
        <f t="shared" si="56"/>
        <v>4920</v>
      </c>
      <c r="AD51">
        <f t="shared" si="57"/>
        <v>0</v>
      </c>
      <c r="AE51">
        <f t="shared" si="58"/>
        <v>0</v>
      </c>
      <c r="AF51">
        <f t="shared" si="59"/>
        <v>0</v>
      </c>
      <c r="AG51">
        <f t="shared" si="34"/>
        <v>0</v>
      </c>
      <c r="AH51">
        <f t="shared" si="60"/>
        <v>0</v>
      </c>
      <c r="AI51">
        <f t="shared" si="61"/>
        <v>0</v>
      </c>
      <c r="AJ51">
        <f t="shared" si="36"/>
        <v>0</v>
      </c>
      <c r="AK51">
        <v>4920</v>
      </c>
      <c r="AL51">
        <v>4920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93</v>
      </c>
      <c r="AU51">
        <v>62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6.72</v>
      </c>
      <c r="BH51">
        <v>3</v>
      </c>
      <c r="BI51">
        <v>1</v>
      </c>
      <c r="BJ51" t="s">
        <v>85</v>
      </c>
      <c r="BM51">
        <v>9001</v>
      </c>
      <c r="BN51">
        <v>0</v>
      </c>
      <c r="BO51" t="s">
        <v>37</v>
      </c>
      <c r="BP51">
        <v>1</v>
      </c>
      <c r="BQ51">
        <v>2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93</v>
      </c>
      <c r="CA51">
        <v>62</v>
      </c>
      <c r="CE51">
        <v>0</v>
      </c>
      <c r="CF51">
        <v>0</v>
      </c>
      <c r="CG51">
        <v>0</v>
      </c>
      <c r="CM51">
        <v>0</v>
      </c>
      <c r="CN51" t="s">
        <v>28</v>
      </c>
      <c r="CO51">
        <v>0</v>
      </c>
      <c r="CP51">
        <f t="shared" si="37"/>
        <v>0</v>
      </c>
      <c r="CQ51">
        <f t="shared" si="38"/>
        <v>33062.4</v>
      </c>
      <c r="CR51">
        <f t="shared" si="62"/>
        <v>0</v>
      </c>
      <c r="CS51">
        <f t="shared" si="39"/>
        <v>0</v>
      </c>
      <c r="CT51">
        <f t="shared" si="40"/>
        <v>0</v>
      </c>
      <c r="CU51">
        <f t="shared" si="41"/>
        <v>0</v>
      </c>
      <c r="CV51">
        <f t="shared" si="42"/>
        <v>0</v>
      </c>
      <c r="CW51">
        <f t="shared" si="43"/>
        <v>0</v>
      </c>
      <c r="CX51">
        <f t="shared" si="44"/>
        <v>0</v>
      </c>
      <c r="CY51">
        <f t="shared" si="45"/>
        <v>0</v>
      </c>
      <c r="CZ51">
        <f t="shared" si="46"/>
        <v>0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41</v>
      </c>
      <c r="DW51" t="s">
        <v>41</v>
      </c>
      <c r="DX51">
        <v>1000</v>
      </c>
      <c r="EE51">
        <v>55471659</v>
      </c>
      <c r="EF51">
        <v>2</v>
      </c>
      <c r="EG51" t="s">
        <v>31</v>
      </c>
      <c r="EH51">
        <v>9</v>
      </c>
      <c r="EI51" t="s">
        <v>32</v>
      </c>
      <c r="EJ51">
        <v>1</v>
      </c>
      <c r="EK51">
        <v>9001</v>
      </c>
      <c r="EL51" t="s">
        <v>32</v>
      </c>
      <c r="EM51" t="s">
        <v>33</v>
      </c>
      <c r="EO51" t="s">
        <v>34</v>
      </c>
      <c r="EQ51">
        <v>0</v>
      </c>
      <c r="ER51">
        <v>4920</v>
      </c>
      <c r="ES51">
        <v>4920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7"/>
        <v>0</v>
      </c>
      <c r="FS51">
        <v>0</v>
      </c>
      <c r="FX51">
        <v>93</v>
      </c>
      <c r="FY51">
        <v>62</v>
      </c>
      <c r="GD51">
        <v>1</v>
      </c>
      <c r="GF51">
        <v>834877976</v>
      </c>
      <c r="GG51">
        <v>2</v>
      </c>
      <c r="GH51">
        <v>1</v>
      </c>
      <c r="GI51">
        <v>4</v>
      </c>
      <c r="GJ51">
        <v>0</v>
      </c>
      <c r="GK51">
        <v>0</v>
      </c>
      <c r="GL51">
        <f t="shared" si="48"/>
        <v>0</v>
      </c>
      <c r="GM51">
        <f t="shared" si="49"/>
        <v>0</v>
      </c>
      <c r="GN51">
        <f t="shared" si="50"/>
        <v>0</v>
      </c>
      <c r="GO51">
        <f t="shared" si="51"/>
        <v>0</v>
      </c>
      <c r="GP51">
        <f t="shared" si="52"/>
        <v>0</v>
      </c>
      <c r="GR51">
        <v>0</v>
      </c>
      <c r="GS51">
        <v>3</v>
      </c>
      <c r="GT51">
        <v>0</v>
      </c>
      <c r="GV51">
        <f t="shared" si="53"/>
        <v>0</v>
      </c>
      <c r="GW51">
        <v>1</v>
      </c>
      <c r="GX51">
        <f t="shared" si="54"/>
        <v>0</v>
      </c>
      <c r="HA51">
        <v>0</v>
      </c>
      <c r="HB51">
        <v>0</v>
      </c>
      <c r="HC51">
        <f t="shared" si="55"/>
        <v>0</v>
      </c>
      <c r="HM51" t="s">
        <v>29</v>
      </c>
      <c r="HN51" t="s">
        <v>35</v>
      </c>
      <c r="HO51" t="s">
        <v>36</v>
      </c>
      <c r="HP51" t="s">
        <v>32</v>
      </c>
      <c r="HQ51" t="s">
        <v>32</v>
      </c>
      <c r="IK51">
        <v>0</v>
      </c>
    </row>
    <row r="52" spans="1:255" ht="12.75">
      <c r="A52" s="2">
        <v>18</v>
      </c>
      <c r="B52" s="2">
        <v>1</v>
      </c>
      <c r="C52" s="2">
        <v>37</v>
      </c>
      <c r="D52" s="2"/>
      <c r="E52" s="2" t="s">
        <v>86</v>
      </c>
      <c r="F52" s="2" t="s">
        <v>87</v>
      </c>
      <c r="G52" s="2" t="s">
        <v>88</v>
      </c>
      <c r="H52" s="2" t="s">
        <v>46</v>
      </c>
      <c r="I52" s="2">
        <f>I30*J52</f>
        <v>0</v>
      </c>
      <c r="J52" s="2">
        <v>0</v>
      </c>
      <c r="K52" s="2">
        <v>-0.00103</v>
      </c>
      <c r="L52" s="2"/>
      <c r="M52" s="2"/>
      <c r="N52" s="2"/>
      <c r="O52" s="2">
        <f t="shared" si="21"/>
        <v>0</v>
      </c>
      <c r="P52" s="2">
        <f t="shared" si="22"/>
        <v>0</v>
      </c>
      <c r="Q52" s="2">
        <f t="shared" si="23"/>
        <v>0</v>
      </c>
      <c r="R52" s="2">
        <f t="shared" si="24"/>
        <v>0</v>
      </c>
      <c r="S52" s="2">
        <f t="shared" si="25"/>
        <v>0</v>
      </c>
      <c r="T52" s="2">
        <f t="shared" si="26"/>
        <v>0</v>
      </c>
      <c r="U52" s="2">
        <f t="shared" si="27"/>
        <v>0</v>
      </c>
      <c r="V52" s="2">
        <f t="shared" si="28"/>
        <v>0</v>
      </c>
      <c r="W52" s="2">
        <f t="shared" si="29"/>
        <v>0</v>
      </c>
      <c r="X52" s="2">
        <f t="shared" si="30"/>
        <v>0</v>
      </c>
      <c r="Y52" s="2">
        <f t="shared" si="31"/>
        <v>0</v>
      </c>
      <c r="Z52" s="2"/>
      <c r="AA52" s="2">
        <v>55656218</v>
      </c>
      <c r="AB52" s="2">
        <f t="shared" si="32"/>
        <v>1700</v>
      </c>
      <c r="AC52" s="2">
        <f t="shared" si="56"/>
        <v>1700</v>
      </c>
      <c r="AD52" s="2">
        <f t="shared" si="57"/>
        <v>0</v>
      </c>
      <c r="AE52" s="2">
        <f t="shared" si="58"/>
        <v>0</v>
      </c>
      <c r="AF52" s="2">
        <f t="shared" si="59"/>
        <v>0</v>
      </c>
      <c r="AG52" s="2">
        <f t="shared" si="34"/>
        <v>0</v>
      </c>
      <c r="AH52" s="2">
        <f t="shared" si="60"/>
        <v>0</v>
      </c>
      <c r="AI52" s="2">
        <f t="shared" si="61"/>
        <v>0</v>
      </c>
      <c r="AJ52" s="2">
        <f t="shared" si="36"/>
        <v>0</v>
      </c>
      <c r="AK52" s="2">
        <v>1700</v>
      </c>
      <c r="AL52" s="2">
        <v>1700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93</v>
      </c>
      <c r="AU52" s="2">
        <v>62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89</v>
      </c>
      <c r="BK52" s="2"/>
      <c r="BL52" s="2"/>
      <c r="BM52" s="2">
        <v>9001</v>
      </c>
      <c r="BN52" s="2">
        <v>0</v>
      </c>
      <c r="BO52" s="2" t="s">
        <v>3</v>
      </c>
      <c r="BP52" s="2">
        <v>0</v>
      </c>
      <c r="BQ52" s="2">
        <v>2</v>
      </c>
      <c r="BR52" s="2">
        <v>1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93</v>
      </c>
      <c r="CA52" s="2">
        <v>62</v>
      </c>
      <c r="CB52" s="2" t="s">
        <v>3</v>
      </c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28</v>
      </c>
      <c r="CO52" s="2">
        <v>0</v>
      </c>
      <c r="CP52" s="2">
        <f t="shared" si="37"/>
        <v>0</v>
      </c>
      <c r="CQ52" s="2">
        <f t="shared" si="38"/>
        <v>1700</v>
      </c>
      <c r="CR52" s="2">
        <f t="shared" si="62"/>
        <v>0</v>
      </c>
      <c r="CS52" s="2">
        <f t="shared" si="39"/>
        <v>0</v>
      </c>
      <c r="CT52" s="2">
        <f t="shared" si="40"/>
        <v>0</v>
      </c>
      <c r="CU52" s="2">
        <f t="shared" si="41"/>
        <v>0</v>
      </c>
      <c r="CV52" s="2">
        <f t="shared" si="42"/>
        <v>0</v>
      </c>
      <c r="CW52" s="2">
        <f t="shared" si="43"/>
        <v>0</v>
      </c>
      <c r="CX52" s="2">
        <f t="shared" si="44"/>
        <v>0</v>
      </c>
      <c r="CY52" s="2">
        <f t="shared" si="45"/>
        <v>0</v>
      </c>
      <c r="CZ52" s="2">
        <f t="shared" si="46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1007</v>
      </c>
      <c r="DV52" s="2" t="s">
        <v>46</v>
      </c>
      <c r="DW52" s="2" t="s">
        <v>46</v>
      </c>
      <c r="DX52" s="2">
        <v>1</v>
      </c>
      <c r="DY52" s="2"/>
      <c r="DZ52" s="2" t="s">
        <v>3</v>
      </c>
      <c r="EA52" s="2" t="s">
        <v>3</v>
      </c>
      <c r="EB52" s="2" t="s">
        <v>3</v>
      </c>
      <c r="EC52" s="2" t="s">
        <v>3</v>
      </c>
      <c r="ED52" s="2"/>
      <c r="EE52" s="2">
        <v>55471659</v>
      </c>
      <c r="EF52" s="2">
        <v>2</v>
      </c>
      <c r="EG52" s="2" t="s">
        <v>31</v>
      </c>
      <c r="EH52" s="2">
        <v>9</v>
      </c>
      <c r="EI52" s="2" t="s">
        <v>32</v>
      </c>
      <c r="EJ52" s="2">
        <v>1</v>
      </c>
      <c r="EK52" s="2">
        <v>9001</v>
      </c>
      <c r="EL52" s="2" t="s">
        <v>32</v>
      </c>
      <c r="EM52" s="2" t="s">
        <v>33</v>
      </c>
      <c r="EN52" s="2"/>
      <c r="EO52" s="2" t="s">
        <v>34</v>
      </c>
      <c r="EP52" s="2"/>
      <c r="EQ52" s="2">
        <v>0</v>
      </c>
      <c r="ER52" s="2">
        <v>1700</v>
      </c>
      <c r="ES52" s="2">
        <v>1700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7"/>
        <v>0</v>
      </c>
      <c r="FS52" s="2">
        <v>0</v>
      </c>
      <c r="FT52" s="2"/>
      <c r="FU52" s="2"/>
      <c r="FV52" s="2"/>
      <c r="FW52" s="2"/>
      <c r="FX52" s="2">
        <v>93</v>
      </c>
      <c r="FY52" s="2">
        <v>62</v>
      </c>
      <c r="FZ52" s="2"/>
      <c r="GA52" s="2" t="s">
        <v>3</v>
      </c>
      <c r="GB52" s="2"/>
      <c r="GC52" s="2"/>
      <c r="GD52" s="2">
        <v>1</v>
      </c>
      <c r="GE52" s="2"/>
      <c r="GF52" s="2">
        <v>1758287014</v>
      </c>
      <c r="GG52" s="2">
        <v>2</v>
      </c>
      <c r="GH52" s="2">
        <v>1</v>
      </c>
      <c r="GI52" s="2">
        <v>-2</v>
      </c>
      <c r="GJ52" s="2">
        <v>0</v>
      </c>
      <c r="GK52" s="2">
        <v>0</v>
      </c>
      <c r="GL52" s="2">
        <f t="shared" si="48"/>
        <v>0</v>
      </c>
      <c r="GM52" s="2">
        <f t="shared" si="49"/>
        <v>0</v>
      </c>
      <c r="GN52" s="2">
        <f t="shared" si="50"/>
        <v>0</v>
      </c>
      <c r="GO52" s="2">
        <f t="shared" si="51"/>
        <v>0</v>
      </c>
      <c r="GP52" s="2">
        <f t="shared" si="52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3"/>
        <v>0</v>
      </c>
      <c r="GW52" s="2">
        <v>1</v>
      </c>
      <c r="GX52" s="2">
        <f t="shared" si="54"/>
        <v>0</v>
      </c>
      <c r="GY52" s="2"/>
      <c r="GZ52" s="2"/>
      <c r="HA52" s="2">
        <v>0</v>
      </c>
      <c r="HB52" s="2">
        <v>0</v>
      </c>
      <c r="HC52" s="2">
        <f t="shared" si="55"/>
        <v>0</v>
      </c>
      <c r="HD52" s="2"/>
      <c r="HE52" s="2" t="s">
        <v>3</v>
      </c>
      <c r="HF52" s="2" t="s">
        <v>3</v>
      </c>
      <c r="HG52" s="2"/>
      <c r="HH52" s="2"/>
      <c r="HI52" s="2"/>
      <c r="HJ52" s="2"/>
      <c r="HK52" s="2"/>
      <c r="HL52" s="2"/>
      <c r="HM52" s="2" t="s">
        <v>29</v>
      </c>
      <c r="HN52" s="2" t="s">
        <v>35</v>
      </c>
      <c r="HO52" s="2" t="s">
        <v>36</v>
      </c>
      <c r="HP52" s="2" t="s">
        <v>32</v>
      </c>
      <c r="HQ52" s="2" t="s">
        <v>32</v>
      </c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45" ht="12.75">
      <c r="A53">
        <v>18</v>
      </c>
      <c r="B53">
        <v>1</v>
      </c>
      <c r="C53">
        <v>58</v>
      </c>
      <c r="E53" t="s">
        <v>86</v>
      </c>
      <c r="F53" t="s">
        <v>87</v>
      </c>
      <c r="G53" t="s">
        <v>88</v>
      </c>
      <c r="H53" t="s">
        <v>46</v>
      </c>
      <c r="I53">
        <f>I31*J53</f>
        <v>0</v>
      </c>
      <c r="J53">
        <v>0</v>
      </c>
      <c r="K53">
        <v>-0.00103</v>
      </c>
      <c r="O53">
        <f t="shared" si="21"/>
        <v>0</v>
      </c>
      <c r="P53">
        <f t="shared" si="22"/>
        <v>0</v>
      </c>
      <c r="Q53">
        <f t="shared" si="23"/>
        <v>0</v>
      </c>
      <c r="R53">
        <f t="shared" si="24"/>
        <v>0</v>
      </c>
      <c r="S53">
        <f t="shared" si="25"/>
        <v>0</v>
      </c>
      <c r="T53">
        <f t="shared" si="26"/>
        <v>0</v>
      </c>
      <c r="U53">
        <f t="shared" si="27"/>
        <v>0</v>
      </c>
      <c r="V53">
        <f t="shared" si="28"/>
        <v>0</v>
      </c>
      <c r="W53">
        <f t="shared" si="29"/>
        <v>0</v>
      </c>
      <c r="X53">
        <f t="shared" si="30"/>
        <v>0</v>
      </c>
      <c r="Y53">
        <f t="shared" si="31"/>
        <v>0</v>
      </c>
      <c r="AA53">
        <v>55657272</v>
      </c>
      <c r="AB53">
        <f t="shared" si="32"/>
        <v>1700</v>
      </c>
      <c r="AC53">
        <f t="shared" si="56"/>
        <v>1700</v>
      </c>
      <c r="AD53">
        <f t="shared" si="57"/>
        <v>0</v>
      </c>
      <c r="AE53">
        <f t="shared" si="58"/>
        <v>0</v>
      </c>
      <c r="AF53">
        <f t="shared" si="59"/>
        <v>0</v>
      </c>
      <c r="AG53">
        <f t="shared" si="34"/>
        <v>0</v>
      </c>
      <c r="AH53">
        <f t="shared" si="60"/>
        <v>0</v>
      </c>
      <c r="AI53">
        <f t="shared" si="61"/>
        <v>0</v>
      </c>
      <c r="AJ53">
        <f t="shared" si="36"/>
        <v>0</v>
      </c>
      <c r="AK53">
        <v>1700</v>
      </c>
      <c r="AL53">
        <v>1700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93</v>
      </c>
      <c r="AU53">
        <v>62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6.72</v>
      </c>
      <c r="BH53">
        <v>3</v>
      </c>
      <c r="BI53">
        <v>1</v>
      </c>
      <c r="BJ53" t="s">
        <v>89</v>
      </c>
      <c r="BM53">
        <v>9001</v>
      </c>
      <c r="BN53">
        <v>0</v>
      </c>
      <c r="BO53" t="s">
        <v>37</v>
      </c>
      <c r="BP53">
        <v>1</v>
      </c>
      <c r="BQ53">
        <v>2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93</v>
      </c>
      <c r="CA53">
        <v>62</v>
      </c>
      <c r="CE53">
        <v>0</v>
      </c>
      <c r="CF53">
        <v>0</v>
      </c>
      <c r="CG53">
        <v>0</v>
      </c>
      <c r="CM53">
        <v>0</v>
      </c>
      <c r="CN53" t="s">
        <v>28</v>
      </c>
      <c r="CO53">
        <v>0</v>
      </c>
      <c r="CP53">
        <f t="shared" si="37"/>
        <v>0</v>
      </c>
      <c r="CQ53">
        <f t="shared" si="38"/>
        <v>11424</v>
      </c>
      <c r="CR53">
        <f t="shared" si="62"/>
        <v>0</v>
      </c>
      <c r="CS53">
        <f t="shared" si="39"/>
        <v>0</v>
      </c>
      <c r="CT53">
        <f t="shared" si="40"/>
        <v>0</v>
      </c>
      <c r="CU53">
        <f t="shared" si="41"/>
        <v>0</v>
      </c>
      <c r="CV53">
        <f t="shared" si="42"/>
        <v>0</v>
      </c>
      <c r="CW53">
        <f t="shared" si="43"/>
        <v>0</v>
      </c>
      <c r="CX53">
        <f t="shared" si="44"/>
        <v>0</v>
      </c>
      <c r="CY53">
        <f t="shared" si="45"/>
        <v>0</v>
      </c>
      <c r="CZ53">
        <f t="shared" si="46"/>
        <v>0</v>
      </c>
      <c r="DN53">
        <v>0</v>
      </c>
      <c r="DO53">
        <v>0</v>
      </c>
      <c r="DP53">
        <v>1</v>
      </c>
      <c r="DQ53">
        <v>1</v>
      </c>
      <c r="DU53">
        <v>1007</v>
      </c>
      <c r="DV53" t="s">
        <v>46</v>
      </c>
      <c r="DW53" t="s">
        <v>46</v>
      </c>
      <c r="DX53">
        <v>1</v>
      </c>
      <c r="EE53">
        <v>55471659</v>
      </c>
      <c r="EF53">
        <v>2</v>
      </c>
      <c r="EG53" t="s">
        <v>31</v>
      </c>
      <c r="EH53">
        <v>9</v>
      </c>
      <c r="EI53" t="s">
        <v>32</v>
      </c>
      <c r="EJ53">
        <v>1</v>
      </c>
      <c r="EK53">
        <v>9001</v>
      </c>
      <c r="EL53" t="s">
        <v>32</v>
      </c>
      <c r="EM53" t="s">
        <v>33</v>
      </c>
      <c r="EO53" t="s">
        <v>34</v>
      </c>
      <c r="EQ53">
        <v>0</v>
      </c>
      <c r="ER53">
        <v>1700</v>
      </c>
      <c r="ES53">
        <v>1700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7"/>
        <v>0</v>
      </c>
      <c r="FS53">
        <v>0</v>
      </c>
      <c r="FX53">
        <v>93</v>
      </c>
      <c r="FY53">
        <v>62</v>
      </c>
      <c r="GD53">
        <v>1</v>
      </c>
      <c r="GF53">
        <v>1758287014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48"/>
        <v>0</v>
      </c>
      <c r="GM53">
        <f t="shared" si="49"/>
        <v>0</v>
      </c>
      <c r="GN53">
        <f t="shared" si="50"/>
        <v>0</v>
      </c>
      <c r="GO53">
        <f t="shared" si="51"/>
        <v>0</v>
      </c>
      <c r="GP53">
        <f t="shared" si="52"/>
        <v>0</v>
      </c>
      <c r="GR53">
        <v>0</v>
      </c>
      <c r="GS53">
        <v>3</v>
      </c>
      <c r="GT53">
        <v>0</v>
      </c>
      <c r="GV53">
        <f t="shared" si="53"/>
        <v>0</v>
      </c>
      <c r="GW53">
        <v>1</v>
      </c>
      <c r="GX53">
        <f t="shared" si="54"/>
        <v>0</v>
      </c>
      <c r="HA53">
        <v>0</v>
      </c>
      <c r="HB53">
        <v>0</v>
      </c>
      <c r="HC53">
        <f t="shared" si="55"/>
        <v>0</v>
      </c>
      <c r="HM53" t="s">
        <v>29</v>
      </c>
      <c r="HN53" t="s">
        <v>35</v>
      </c>
      <c r="HO53" t="s">
        <v>36</v>
      </c>
      <c r="HP53" t="s">
        <v>32</v>
      </c>
      <c r="HQ53" t="s">
        <v>32</v>
      </c>
      <c r="IK53">
        <v>0</v>
      </c>
    </row>
    <row r="54" spans="1:255" ht="12.75">
      <c r="A54" s="2">
        <v>18</v>
      </c>
      <c r="B54" s="2">
        <v>1</v>
      </c>
      <c r="C54" s="2">
        <v>38</v>
      </c>
      <c r="D54" s="2"/>
      <c r="E54" s="2" t="s">
        <v>90</v>
      </c>
      <c r="F54" s="2" t="s">
        <v>91</v>
      </c>
      <c r="G54" s="2" t="s">
        <v>92</v>
      </c>
      <c r="H54" s="2" t="s">
        <v>41</v>
      </c>
      <c r="I54" s="2">
        <f>I30*J54</f>
        <v>0</v>
      </c>
      <c r="J54" s="2">
        <v>0</v>
      </c>
      <c r="K54" s="2">
        <v>-0.00031</v>
      </c>
      <c r="L54" s="2"/>
      <c r="M54" s="2"/>
      <c r="N54" s="2"/>
      <c r="O54" s="2">
        <f t="shared" si="21"/>
        <v>0</v>
      </c>
      <c r="P54" s="2">
        <f t="shared" si="22"/>
        <v>0</v>
      </c>
      <c r="Q54" s="2">
        <f t="shared" si="23"/>
        <v>0</v>
      </c>
      <c r="R54" s="2">
        <f t="shared" si="24"/>
        <v>0</v>
      </c>
      <c r="S54" s="2">
        <f t="shared" si="25"/>
        <v>0</v>
      </c>
      <c r="T54" s="2">
        <f t="shared" si="26"/>
        <v>0</v>
      </c>
      <c r="U54" s="2">
        <f t="shared" si="27"/>
        <v>0</v>
      </c>
      <c r="V54" s="2">
        <f t="shared" si="28"/>
        <v>0</v>
      </c>
      <c r="W54" s="2">
        <f t="shared" si="29"/>
        <v>0</v>
      </c>
      <c r="X54" s="2">
        <f t="shared" si="30"/>
        <v>0</v>
      </c>
      <c r="Y54" s="2">
        <f t="shared" si="31"/>
        <v>0</v>
      </c>
      <c r="Z54" s="2"/>
      <c r="AA54" s="2">
        <v>55656218</v>
      </c>
      <c r="AB54" s="2">
        <f t="shared" si="32"/>
        <v>15620</v>
      </c>
      <c r="AC54" s="2">
        <f t="shared" si="56"/>
        <v>15620</v>
      </c>
      <c r="AD54" s="2">
        <f t="shared" si="57"/>
        <v>0</v>
      </c>
      <c r="AE54" s="2">
        <f t="shared" si="58"/>
        <v>0</v>
      </c>
      <c r="AF54" s="2">
        <f t="shared" si="59"/>
        <v>0</v>
      </c>
      <c r="AG54" s="2">
        <f t="shared" si="34"/>
        <v>0</v>
      </c>
      <c r="AH54" s="2">
        <f t="shared" si="60"/>
        <v>0</v>
      </c>
      <c r="AI54" s="2">
        <f t="shared" si="61"/>
        <v>0</v>
      </c>
      <c r="AJ54" s="2">
        <f t="shared" si="36"/>
        <v>0</v>
      </c>
      <c r="AK54" s="2">
        <v>15620</v>
      </c>
      <c r="AL54" s="2">
        <v>15620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93</v>
      </c>
      <c r="AU54" s="2">
        <v>62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93</v>
      </c>
      <c r="BK54" s="2"/>
      <c r="BL54" s="2"/>
      <c r="BM54" s="2">
        <v>9001</v>
      </c>
      <c r="BN54" s="2">
        <v>0</v>
      </c>
      <c r="BO54" s="2" t="s">
        <v>3</v>
      </c>
      <c r="BP54" s="2">
        <v>0</v>
      </c>
      <c r="BQ54" s="2">
        <v>2</v>
      </c>
      <c r="BR54" s="2">
        <v>1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93</v>
      </c>
      <c r="CA54" s="2">
        <v>62</v>
      </c>
      <c r="CB54" s="2" t="s">
        <v>3</v>
      </c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28</v>
      </c>
      <c r="CO54" s="2">
        <v>0</v>
      </c>
      <c r="CP54" s="2">
        <f t="shared" si="37"/>
        <v>0</v>
      </c>
      <c r="CQ54" s="2">
        <f t="shared" si="38"/>
        <v>15620</v>
      </c>
      <c r="CR54" s="2">
        <f t="shared" si="62"/>
        <v>0</v>
      </c>
      <c r="CS54" s="2">
        <f t="shared" si="39"/>
        <v>0</v>
      </c>
      <c r="CT54" s="2">
        <f t="shared" si="40"/>
        <v>0</v>
      </c>
      <c r="CU54" s="2">
        <f t="shared" si="41"/>
        <v>0</v>
      </c>
      <c r="CV54" s="2">
        <f t="shared" si="42"/>
        <v>0</v>
      </c>
      <c r="CW54" s="2">
        <f t="shared" si="43"/>
        <v>0</v>
      </c>
      <c r="CX54" s="2">
        <f t="shared" si="44"/>
        <v>0</v>
      </c>
      <c r="CY54" s="2">
        <f t="shared" si="45"/>
        <v>0</v>
      </c>
      <c r="CZ54" s="2">
        <f t="shared" si="46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41</v>
      </c>
      <c r="DW54" s="2" t="s">
        <v>41</v>
      </c>
      <c r="DX54" s="2">
        <v>1000</v>
      </c>
      <c r="DY54" s="2"/>
      <c r="DZ54" s="2" t="s">
        <v>3</v>
      </c>
      <c r="EA54" s="2" t="s">
        <v>3</v>
      </c>
      <c r="EB54" s="2" t="s">
        <v>3</v>
      </c>
      <c r="EC54" s="2" t="s">
        <v>3</v>
      </c>
      <c r="ED54" s="2"/>
      <c r="EE54" s="2">
        <v>55471659</v>
      </c>
      <c r="EF54" s="2">
        <v>2</v>
      </c>
      <c r="EG54" s="2" t="s">
        <v>31</v>
      </c>
      <c r="EH54" s="2">
        <v>9</v>
      </c>
      <c r="EI54" s="2" t="s">
        <v>32</v>
      </c>
      <c r="EJ54" s="2">
        <v>1</v>
      </c>
      <c r="EK54" s="2">
        <v>9001</v>
      </c>
      <c r="EL54" s="2" t="s">
        <v>32</v>
      </c>
      <c r="EM54" s="2" t="s">
        <v>33</v>
      </c>
      <c r="EN54" s="2"/>
      <c r="EO54" s="2" t="s">
        <v>34</v>
      </c>
      <c r="EP54" s="2"/>
      <c r="EQ54" s="2">
        <v>0</v>
      </c>
      <c r="ER54" s="2">
        <v>15620</v>
      </c>
      <c r="ES54" s="2">
        <v>15620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7"/>
        <v>0</v>
      </c>
      <c r="FS54" s="2">
        <v>0</v>
      </c>
      <c r="FT54" s="2"/>
      <c r="FU54" s="2"/>
      <c r="FV54" s="2"/>
      <c r="FW54" s="2"/>
      <c r="FX54" s="2">
        <v>93</v>
      </c>
      <c r="FY54" s="2">
        <v>62</v>
      </c>
      <c r="FZ54" s="2"/>
      <c r="GA54" s="2" t="s">
        <v>3</v>
      </c>
      <c r="GB54" s="2"/>
      <c r="GC54" s="2"/>
      <c r="GD54" s="2">
        <v>1</v>
      </c>
      <c r="GE54" s="2"/>
      <c r="GF54" s="2">
        <v>264248573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8"/>
        <v>0</v>
      </c>
      <c r="GM54" s="2">
        <f t="shared" si="49"/>
        <v>0</v>
      </c>
      <c r="GN54" s="2">
        <f t="shared" si="50"/>
        <v>0</v>
      </c>
      <c r="GO54" s="2">
        <f t="shared" si="51"/>
        <v>0</v>
      </c>
      <c r="GP54" s="2">
        <f t="shared" si="52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3"/>
        <v>0</v>
      </c>
      <c r="GW54" s="2">
        <v>1</v>
      </c>
      <c r="GX54" s="2">
        <f t="shared" si="54"/>
        <v>0</v>
      </c>
      <c r="GY54" s="2"/>
      <c r="GZ54" s="2"/>
      <c r="HA54" s="2">
        <v>0</v>
      </c>
      <c r="HB54" s="2">
        <v>0</v>
      </c>
      <c r="HC54" s="2">
        <f t="shared" si="55"/>
        <v>0</v>
      </c>
      <c r="HD54" s="2"/>
      <c r="HE54" s="2" t="s">
        <v>3</v>
      </c>
      <c r="HF54" s="2" t="s">
        <v>3</v>
      </c>
      <c r="HG54" s="2"/>
      <c r="HH54" s="2"/>
      <c r="HI54" s="2"/>
      <c r="HJ54" s="2"/>
      <c r="HK54" s="2"/>
      <c r="HL54" s="2"/>
      <c r="HM54" s="2" t="s">
        <v>29</v>
      </c>
      <c r="HN54" s="2" t="s">
        <v>35</v>
      </c>
      <c r="HO54" s="2" t="s">
        <v>36</v>
      </c>
      <c r="HP54" s="2" t="s">
        <v>32</v>
      </c>
      <c r="HQ54" s="2" t="s">
        <v>32</v>
      </c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45" ht="12.75">
      <c r="A55">
        <v>18</v>
      </c>
      <c r="B55">
        <v>1</v>
      </c>
      <c r="C55">
        <v>59</v>
      </c>
      <c r="E55" t="s">
        <v>90</v>
      </c>
      <c r="F55" t="s">
        <v>91</v>
      </c>
      <c r="G55" t="s">
        <v>92</v>
      </c>
      <c r="H55" t="s">
        <v>41</v>
      </c>
      <c r="I55">
        <f>I31*J55</f>
        <v>0</v>
      </c>
      <c r="J55">
        <v>0</v>
      </c>
      <c r="K55">
        <v>-0.00031</v>
      </c>
      <c r="O55">
        <f t="shared" si="21"/>
        <v>0</v>
      </c>
      <c r="P55">
        <f t="shared" si="22"/>
        <v>0</v>
      </c>
      <c r="Q55">
        <f t="shared" si="23"/>
        <v>0</v>
      </c>
      <c r="R55">
        <f t="shared" si="24"/>
        <v>0</v>
      </c>
      <c r="S55">
        <f t="shared" si="25"/>
        <v>0</v>
      </c>
      <c r="T55">
        <f t="shared" si="26"/>
        <v>0</v>
      </c>
      <c r="U55">
        <f t="shared" si="27"/>
        <v>0</v>
      </c>
      <c r="V55">
        <f t="shared" si="28"/>
        <v>0</v>
      </c>
      <c r="W55">
        <f t="shared" si="29"/>
        <v>0</v>
      </c>
      <c r="X55">
        <f t="shared" si="30"/>
        <v>0</v>
      </c>
      <c r="Y55">
        <f t="shared" si="31"/>
        <v>0</v>
      </c>
      <c r="AA55">
        <v>55657272</v>
      </c>
      <c r="AB55">
        <f t="shared" si="32"/>
        <v>15620</v>
      </c>
      <c r="AC55">
        <f t="shared" si="56"/>
        <v>15620</v>
      </c>
      <c r="AD55">
        <f t="shared" si="57"/>
        <v>0</v>
      </c>
      <c r="AE55">
        <f t="shared" si="58"/>
        <v>0</v>
      </c>
      <c r="AF55">
        <f t="shared" si="59"/>
        <v>0</v>
      </c>
      <c r="AG55">
        <f t="shared" si="34"/>
        <v>0</v>
      </c>
      <c r="AH55">
        <f t="shared" si="60"/>
        <v>0</v>
      </c>
      <c r="AI55">
        <f t="shared" si="61"/>
        <v>0</v>
      </c>
      <c r="AJ55">
        <f t="shared" si="36"/>
        <v>0</v>
      </c>
      <c r="AK55">
        <v>15620</v>
      </c>
      <c r="AL55">
        <v>15620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93</v>
      </c>
      <c r="AU55">
        <v>62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6.72</v>
      </c>
      <c r="BH55">
        <v>3</v>
      </c>
      <c r="BI55">
        <v>1</v>
      </c>
      <c r="BJ55" t="s">
        <v>93</v>
      </c>
      <c r="BM55">
        <v>9001</v>
      </c>
      <c r="BN55">
        <v>0</v>
      </c>
      <c r="BO55" t="s">
        <v>37</v>
      </c>
      <c r="BP55">
        <v>1</v>
      </c>
      <c r="BQ55">
        <v>2</v>
      </c>
      <c r="BR55">
        <v>1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93</v>
      </c>
      <c r="CA55">
        <v>62</v>
      </c>
      <c r="CE55">
        <v>0</v>
      </c>
      <c r="CF55">
        <v>0</v>
      </c>
      <c r="CG55">
        <v>0</v>
      </c>
      <c r="CM55">
        <v>0</v>
      </c>
      <c r="CN55" t="s">
        <v>28</v>
      </c>
      <c r="CO55">
        <v>0</v>
      </c>
      <c r="CP55">
        <f t="shared" si="37"/>
        <v>0</v>
      </c>
      <c r="CQ55">
        <f t="shared" si="38"/>
        <v>104966.4</v>
      </c>
      <c r="CR55">
        <f t="shared" si="62"/>
        <v>0</v>
      </c>
      <c r="CS55">
        <f t="shared" si="39"/>
        <v>0</v>
      </c>
      <c r="CT55">
        <f t="shared" si="40"/>
        <v>0</v>
      </c>
      <c r="CU55">
        <f t="shared" si="41"/>
        <v>0</v>
      </c>
      <c r="CV55">
        <f t="shared" si="42"/>
        <v>0</v>
      </c>
      <c r="CW55">
        <f t="shared" si="43"/>
        <v>0</v>
      </c>
      <c r="CX55">
        <f t="shared" si="44"/>
        <v>0</v>
      </c>
      <c r="CY55">
        <f t="shared" si="45"/>
        <v>0</v>
      </c>
      <c r="CZ55">
        <f t="shared" si="46"/>
        <v>0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41</v>
      </c>
      <c r="DW55" t="s">
        <v>41</v>
      </c>
      <c r="DX55">
        <v>1000</v>
      </c>
      <c r="EE55">
        <v>55471659</v>
      </c>
      <c r="EF55">
        <v>2</v>
      </c>
      <c r="EG55" t="s">
        <v>31</v>
      </c>
      <c r="EH55">
        <v>9</v>
      </c>
      <c r="EI55" t="s">
        <v>32</v>
      </c>
      <c r="EJ55">
        <v>1</v>
      </c>
      <c r="EK55">
        <v>9001</v>
      </c>
      <c r="EL55" t="s">
        <v>32</v>
      </c>
      <c r="EM55" t="s">
        <v>33</v>
      </c>
      <c r="EO55" t="s">
        <v>34</v>
      </c>
      <c r="EQ55">
        <v>0</v>
      </c>
      <c r="ER55">
        <v>15620</v>
      </c>
      <c r="ES55">
        <v>15620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7"/>
        <v>0</v>
      </c>
      <c r="FS55">
        <v>0</v>
      </c>
      <c r="FX55">
        <v>93</v>
      </c>
      <c r="FY55">
        <v>62</v>
      </c>
      <c r="GD55">
        <v>1</v>
      </c>
      <c r="GF55">
        <v>264248573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48"/>
        <v>0</v>
      </c>
      <c r="GM55">
        <f t="shared" si="49"/>
        <v>0</v>
      </c>
      <c r="GN55">
        <f t="shared" si="50"/>
        <v>0</v>
      </c>
      <c r="GO55">
        <f t="shared" si="51"/>
        <v>0</v>
      </c>
      <c r="GP55">
        <f t="shared" si="52"/>
        <v>0</v>
      </c>
      <c r="GR55">
        <v>0</v>
      </c>
      <c r="GS55">
        <v>3</v>
      </c>
      <c r="GT55">
        <v>0</v>
      </c>
      <c r="GV55">
        <f t="shared" si="53"/>
        <v>0</v>
      </c>
      <c r="GW55">
        <v>1</v>
      </c>
      <c r="GX55">
        <f t="shared" si="54"/>
        <v>0</v>
      </c>
      <c r="HA55">
        <v>0</v>
      </c>
      <c r="HB55">
        <v>0</v>
      </c>
      <c r="HC55">
        <f t="shared" si="55"/>
        <v>0</v>
      </c>
      <c r="HM55" t="s">
        <v>29</v>
      </c>
      <c r="HN55" t="s">
        <v>35</v>
      </c>
      <c r="HO55" t="s">
        <v>36</v>
      </c>
      <c r="HP55" t="s">
        <v>32</v>
      </c>
      <c r="HQ55" t="s">
        <v>32</v>
      </c>
      <c r="IK55">
        <v>0</v>
      </c>
    </row>
    <row r="56" spans="1:255" ht="12.75">
      <c r="A56" s="2">
        <v>18</v>
      </c>
      <c r="B56" s="2">
        <v>1</v>
      </c>
      <c r="C56" s="2">
        <v>39</v>
      </c>
      <c r="D56" s="2"/>
      <c r="E56" s="2" t="s">
        <v>94</v>
      </c>
      <c r="F56" s="2" t="s">
        <v>95</v>
      </c>
      <c r="G56" s="2" t="s">
        <v>96</v>
      </c>
      <c r="H56" s="2" t="s">
        <v>51</v>
      </c>
      <c r="I56" s="2">
        <f>I30*J56</f>
        <v>0</v>
      </c>
      <c r="J56" s="2">
        <v>0</v>
      </c>
      <c r="K56" s="2">
        <v>-0.6</v>
      </c>
      <c r="L56" s="2"/>
      <c r="M56" s="2"/>
      <c r="N56" s="2"/>
      <c r="O56" s="2">
        <f t="shared" si="21"/>
        <v>0</v>
      </c>
      <c r="P56" s="2">
        <f t="shared" si="22"/>
        <v>0</v>
      </c>
      <c r="Q56" s="2">
        <f t="shared" si="23"/>
        <v>0</v>
      </c>
      <c r="R56" s="2">
        <f t="shared" si="24"/>
        <v>0</v>
      </c>
      <c r="S56" s="2">
        <f t="shared" si="25"/>
        <v>0</v>
      </c>
      <c r="T56" s="2">
        <f t="shared" si="26"/>
        <v>0</v>
      </c>
      <c r="U56" s="2">
        <f t="shared" si="27"/>
        <v>0</v>
      </c>
      <c r="V56" s="2">
        <f t="shared" si="28"/>
        <v>0</v>
      </c>
      <c r="W56" s="2">
        <f t="shared" si="29"/>
        <v>0</v>
      </c>
      <c r="X56" s="2">
        <f t="shared" si="30"/>
        <v>0</v>
      </c>
      <c r="Y56" s="2">
        <f t="shared" si="31"/>
        <v>0</v>
      </c>
      <c r="Z56" s="2"/>
      <c r="AA56" s="2">
        <v>55656218</v>
      </c>
      <c r="AB56" s="2">
        <f t="shared" si="32"/>
        <v>9.42</v>
      </c>
      <c r="AC56" s="2">
        <f t="shared" si="56"/>
        <v>9.42</v>
      </c>
      <c r="AD56" s="2">
        <f t="shared" si="57"/>
        <v>0</v>
      </c>
      <c r="AE56" s="2">
        <f t="shared" si="58"/>
        <v>0</v>
      </c>
      <c r="AF56" s="2">
        <f t="shared" si="59"/>
        <v>0</v>
      </c>
      <c r="AG56" s="2">
        <f t="shared" si="34"/>
        <v>0</v>
      </c>
      <c r="AH56" s="2">
        <f t="shared" si="60"/>
        <v>0</v>
      </c>
      <c r="AI56" s="2">
        <f t="shared" si="61"/>
        <v>0</v>
      </c>
      <c r="AJ56" s="2">
        <f t="shared" si="36"/>
        <v>0</v>
      </c>
      <c r="AK56" s="2">
        <v>9.42</v>
      </c>
      <c r="AL56" s="2">
        <v>9.42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93</v>
      </c>
      <c r="AU56" s="2">
        <v>62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97</v>
      </c>
      <c r="BK56" s="2"/>
      <c r="BL56" s="2"/>
      <c r="BM56" s="2">
        <v>9001</v>
      </c>
      <c r="BN56" s="2">
        <v>0</v>
      </c>
      <c r="BO56" s="2" t="s">
        <v>3</v>
      </c>
      <c r="BP56" s="2">
        <v>0</v>
      </c>
      <c r="BQ56" s="2">
        <v>2</v>
      </c>
      <c r="BR56" s="2">
        <v>1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93</v>
      </c>
      <c r="CA56" s="2">
        <v>62</v>
      </c>
      <c r="CB56" s="2" t="s">
        <v>3</v>
      </c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28</v>
      </c>
      <c r="CO56" s="2">
        <v>0</v>
      </c>
      <c r="CP56" s="2">
        <f t="shared" si="37"/>
        <v>0</v>
      </c>
      <c r="CQ56" s="2">
        <f t="shared" si="38"/>
        <v>9.42</v>
      </c>
      <c r="CR56" s="2">
        <f t="shared" si="62"/>
        <v>0</v>
      </c>
      <c r="CS56" s="2">
        <f t="shared" si="39"/>
        <v>0</v>
      </c>
      <c r="CT56" s="2">
        <f t="shared" si="40"/>
        <v>0</v>
      </c>
      <c r="CU56" s="2">
        <f t="shared" si="41"/>
        <v>0</v>
      </c>
      <c r="CV56" s="2">
        <f t="shared" si="42"/>
        <v>0</v>
      </c>
      <c r="CW56" s="2">
        <f t="shared" si="43"/>
        <v>0</v>
      </c>
      <c r="CX56" s="2">
        <f t="shared" si="44"/>
        <v>0</v>
      </c>
      <c r="CY56" s="2">
        <f t="shared" si="45"/>
        <v>0</v>
      </c>
      <c r="CZ56" s="2">
        <f t="shared" si="46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51</v>
      </c>
      <c r="DW56" s="2" t="s">
        <v>51</v>
      </c>
      <c r="DX56" s="2">
        <v>1</v>
      </c>
      <c r="DY56" s="2"/>
      <c r="DZ56" s="2" t="s">
        <v>3</v>
      </c>
      <c r="EA56" s="2" t="s">
        <v>3</v>
      </c>
      <c r="EB56" s="2" t="s">
        <v>3</v>
      </c>
      <c r="EC56" s="2" t="s">
        <v>3</v>
      </c>
      <c r="ED56" s="2"/>
      <c r="EE56" s="2">
        <v>55471659</v>
      </c>
      <c r="EF56" s="2">
        <v>2</v>
      </c>
      <c r="EG56" s="2" t="s">
        <v>31</v>
      </c>
      <c r="EH56" s="2">
        <v>9</v>
      </c>
      <c r="EI56" s="2" t="s">
        <v>32</v>
      </c>
      <c r="EJ56" s="2">
        <v>1</v>
      </c>
      <c r="EK56" s="2">
        <v>9001</v>
      </c>
      <c r="EL56" s="2" t="s">
        <v>32</v>
      </c>
      <c r="EM56" s="2" t="s">
        <v>33</v>
      </c>
      <c r="EN56" s="2"/>
      <c r="EO56" s="2" t="s">
        <v>34</v>
      </c>
      <c r="EP56" s="2"/>
      <c r="EQ56" s="2">
        <v>0</v>
      </c>
      <c r="ER56" s="2">
        <v>9.42</v>
      </c>
      <c r="ES56" s="2">
        <v>9.42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7"/>
        <v>0</v>
      </c>
      <c r="FS56" s="2">
        <v>0</v>
      </c>
      <c r="FT56" s="2"/>
      <c r="FU56" s="2"/>
      <c r="FV56" s="2"/>
      <c r="FW56" s="2"/>
      <c r="FX56" s="2">
        <v>93</v>
      </c>
      <c r="FY56" s="2">
        <v>62</v>
      </c>
      <c r="FZ56" s="2"/>
      <c r="GA56" s="2" t="s">
        <v>3</v>
      </c>
      <c r="GB56" s="2"/>
      <c r="GC56" s="2"/>
      <c r="GD56" s="2">
        <v>1</v>
      </c>
      <c r="GE56" s="2"/>
      <c r="GF56" s="2">
        <v>-1449230318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si="48"/>
        <v>0</v>
      </c>
      <c r="GM56" s="2">
        <f t="shared" si="49"/>
        <v>0</v>
      </c>
      <c r="GN56" s="2">
        <f t="shared" si="50"/>
        <v>0</v>
      </c>
      <c r="GO56" s="2">
        <f t="shared" si="51"/>
        <v>0</v>
      </c>
      <c r="GP56" s="2">
        <f t="shared" si="52"/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si="53"/>
        <v>0</v>
      </c>
      <c r="GW56" s="2">
        <v>1</v>
      </c>
      <c r="GX56" s="2">
        <f t="shared" si="54"/>
        <v>0</v>
      </c>
      <c r="GY56" s="2"/>
      <c r="GZ56" s="2"/>
      <c r="HA56" s="2">
        <v>0</v>
      </c>
      <c r="HB56" s="2">
        <v>0</v>
      </c>
      <c r="HC56" s="2">
        <f t="shared" si="55"/>
        <v>0</v>
      </c>
      <c r="HD56" s="2"/>
      <c r="HE56" s="2" t="s">
        <v>3</v>
      </c>
      <c r="HF56" s="2" t="s">
        <v>3</v>
      </c>
      <c r="HG56" s="2"/>
      <c r="HH56" s="2"/>
      <c r="HI56" s="2"/>
      <c r="HJ56" s="2"/>
      <c r="HK56" s="2"/>
      <c r="HL56" s="2"/>
      <c r="HM56" s="2" t="s">
        <v>29</v>
      </c>
      <c r="HN56" s="2" t="s">
        <v>35</v>
      </c>
      <c r="HO56" s="2" t="s">
        <v>36</v>
      </c>
      <c r="HP56" s="2" t="s">
        <v>32</v>
      </c>
      <c r="HQ56" s="2" t="s">
        <v>32</v>
      </c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45" ht="12.75">
      <c r="A57">
        <v>18</v>
      </c>
      <c r="B57">
        <v>1</v>
      </c>
      <c r="C57">
        <v>60</v>
      </c>
      <c r="E57" t="s">
        <v>94</v>
      </c>
      <c r="F57" t="s">
        <v>95</v>
      </c>
      <c r="G57" t="s">
        <v>96</v>
      </c>
      <c r="H57" t="s">
        <v>51</v>
      </c>
      <c r="I57">
        <f>I31*J57</f>
        <v>0</v>
      </c>
      <c r="J57">
        <v>0</v>
      </c>
      <c r="K57">
        <v>-0.6</v>
      </c>
      <c r="O57">
        <f t="shared" si="21"/>
        <v>0</v>
      </c>
      <c r="P57">
        <f t="shared" si="22"/>
        <v>0</v>
      </c>
      <c r="Q57">
        <f t="shared" si="23"/>
        <v>0</v>
      </c>
      <c r="R57">
        <f t="shared" si="24"/>
        <v>0</v>
      </c>
      <c r="S57">
        <f t="shared" si="25"/>
        <v>0</v>
      </c>
      <c r="T57">
        <f t="shared" si="26"/>
        <v>0</v>
      </c>
      <c r="U57">
        <f t="shared" si="27"/>
        <v>0</v>
      </c>
      <c r="V57">
        <f t="shared" si="28"/>
        <v>0</v>
      </c>
      <c r="W57">
        <f t="shared" si="29"/>
        <v>0</v>
      </c>
      <c r="X57">
        <f t="shared" si="30"/>
        <v>0</v>
      </c>
      <c r="Y57">
        <f t="shared" si="31"/>
        <v>0</v>
      </c>
      <c r="AA57">
        <v>55657272</v>
      </c>
      <c r="AB57">
        <f t="shared" si="32"/>
        <v>9.42</v>
      </c>
      <c r="AC57">
        <f t="shared" si="56"/>
        <v>9.42</v>
      </c>
      <c r="AD57">
        <f t="shared" si="57"/>
        <v>0</v>
      </c>
      <c r="AE57">
        <f t="shared" si="58"/>
        <v>0</v>
      </c>
      <c r="AF57">
        <f t="shared" si="59"/>
        <v>0</v>
      </c>
      <c r="AG57">
        <f t="shared" si="34"/>
        <v>0</v>
      </c>
      <c r="AH57">
        <f t="shared" si="60"/>
        <v>0</v>
      </c>
      <c r="AI57">
        <f t="shared" si="61"/>
        <v>0</v>
      </c>
      <c r="AJ57">
        <f t="shared" si="36"/>
        <v>0</v>
      </c>
      <c r="AK57">
        <v>9.42</v>
      </c>
      <c r="AL57">
        <v>9.42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93</v>
      </c>
      <c r="AU57">
        <v>62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6.72</v>
      </c>
      <c r="BH57">
        <v>3</v>
      </c>
      <c r="BI57">
        <v>1</v>
      </c>
      <c r="BJ57" t="s">
        <v>97</v>
      </c>
      <c r="BM57">
        <v>9001</v>
      </c>
      <c r="BN57">
        <v>0</v>
      </c>
      <c r="BO57" t="s">
        <v>37</v>
      </c>
      <c r="BP57">
        <v>1</v>
      </c>
      <c r="BQ57">
        <v>2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93</v>
      </c>
      <c r="CA57">
        <v>62</v>
      </c>
      <c r="CE57">
        <v>0</v>
      </c>
      <c r="CF57">
        <v>0</v>
      </c>
      <c r="CG57">
        <v>0</v>
      </c>
      <c r="CM57">
        <v>0</v>
      </c>
      <c r="CN57" t="s">
        <v>28</v>
      </c>
      <c r="CO57">
        <v>0</v>
      </c>
      <c r="CP57">
        <f t="shared" si="37"/>
        <v>0</v>
      </c>
      <c r="CQ57">
        <f t="shared" si="38"/>
        <v>63.3024</v>
      </c>
      <c r="CR57">
        <f t="shared" si="62"/>
        <v>0</v>
      </c>
      <c r="CS57">
        <f t="shared" si="39"/>
        <v>0</v>
      </c>
      <c r="CT57">
        <f t="shared" si="40"/>
        <v>0</v>
      </c>
      <c r="CU57">
        <f t="shared" si="41"/>
        <v>0</v>
      </c>
      <c r="CV57">
        <f t="shared" si="42"/>
        <v>0</v>
      </c>
      <c r="CW57">
        <f t="shared" si="43"/>
        <v>0</v>
      </c>
      <c r="CX57">
        <f t="shared" si="44"/>
        <v>0</v>
      </c>
      <c r="CY57">
        <f t="shared" si="45"/>
        <v>0</v>
      </c>
      <c r="CZ57">
        <f t="shared" si="46"/>
        <v>0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51</v>
      </c>
      <c r="DW57" t="s">
        <v>51</v>
      </c>
      <c r="DX57">
        <v>1</v>
      </c>
      <c r="EE57">
        <v>55471659</v>
      </c>
      <c r="EF57">
        <v>2</v>
      </c>
      <c r="EG57" t="s">
        <v>31</v>
      </c>
      <c r="EH57">
        <v>9</v>
      </c>
      <c r="EI57" t="s">
        <v>32</v>
      </c>
      <c r="EJ57">
        <v>1</v>
      </c>
      <c r="EK57">
        <v>9001</v>
      </c>
      <c r="EL57" t="s">
        <v>32</v>
      </c>
      <c r="EM57" t="s">
        <v>33</v>
      </c>
      <c r="EO57" t="s">
        <v>34</v>
      </c>
      <c r="EQ57">
        <v>0</v>
      </c>
      <c r="ER57">
        <v>9.42</v>
      </c>
      <c r="ES57">
        <v>9.42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47"/>
        <v>0</v>
      </c>
      <c r="FS57">
        <v>0</v>
      </c>
      <c r="FX57">
        <v>93</v>
      </c>
      <c r="FY57">
        <v>62</v>
      </c>
      <c r="GD57">
        <v>1</v>
      </c>
      <c r="GF57">
        <v>-1449230318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48"/>
        <v>0</v>
      </c>
      <c r="GM57">
        <f t="shared" si="49"/>
        <v>0</v>
      </c>
      <c r="GN57">
        <f t="shared" si="50"/>
        <v>0</v>
      </c>
      <c r="GO57">
        <f t="shared" si="51"/>
        <v>0</v>
      </c>
      <c r="GP57">
        <f t="shared" si="52"/>
        <v>0</v>
      </c>
      <c r="GR57">
        <v>0</v>
      </c>
      <c r="GS57">
        <v>3</v>
      </c>
      <c r="GT57">
        <v>0</v>
      </c>
      <c r="GV57">
        <f t="shared" si="53"/>
        <v>0</v>
      </c>
      <c r="GW57">
        <v>1</v>
      </c>
      <c r="GX57">
        <f t="shared" si="54"/>
        <v>0</v>
      </c>
      <c r="HA57">
        <v>0</v>
      </c>
      <c r="HB57">
        <v>0</v>
      </c>
      <c r="HC57">
        <f t="shared" si="55"/>
        <v>0</v>
      </c>
      <c r="HM57" t="s">
        <v>29</v>
      </c>
      <c r="HN57" t="s">
        <v>35</v>
      </c>
      <c r="HO57" t="s">
        <v>36</v>
      </c>
      <c r="HP57" t="s">
        <v>32</v>
      </c>
      <c r="HQ57" t="s">
        <v>32</v>
      </c>
      <c r="IK57">
        <v>0</v>
      </c>
    </row>
    <row r="58" spans="1:255" ht="12.75">
      <c r="A58" s="2">
        <v>17</v>
      </c>
      <c r="B58" s="2">
        <v>1</v>
      </c>
      <c r="C58" s="2">
        <f>ROW(SmtRes!A66)</f>
        <v>66</v>
      </c>
      <c r="D58" s="2">
        <f>ROW(EtalonRes!A76)</f>
        <v>76</v>
      </c>
      <c r="E58" s="2" t="s">
        <v>98</v>
      </c>
      <c r="F58" s="2" t="s">
        <v>99</v>
      </c>
      <c r="G58" s="2" t="s">
        <v>100</v>
      </c>
      <c r="H58" s="2" t="s">
        <v>41</v>
      </c>
      <c r="I58" s="2">
        <v>0.015</v>
      </c>
      <c r="J58" s="2">
        <v>0</v>
      </c>
      <c r="K58" s="2">
        <v>0.015</v>
      </c>
      <c r="L58" s="2"/>
      <c r="M58" s="2"/>
      <c r="N58" s="2"/>
      <c r="O58" s="2">
        <f t="shared" si="21"/>
        <v>27.43</v>
      </c>
      <c r="P58" s="2">
        <f t="shared" si="22"/>
        <v>0</v>
      </c>
      <c r="Q58" s="2">
        <f t="shared" si="23"/>
        <v>0.54</v>
      </c>
      <c r="R58" s="2">
        <f t="shared" si="24"/>
        <v>0.08</v>
      </c>
      <c r="S58" s="2">
        <f t="shared" si="25"/>
        <v>26.89</v>
      </c>
      <c r="T58" s="2">
        <f t="shared" si="26"/>
        <v>0</v>
      </c>
      <c r="U58" s="2">
        <f t="shared" si="27"/>
        <v>3.0344999999999995</v>
      </c>
      <c r="V58" s="2">
        <f t="shared" si="28"/>
        <v>0.006194999999999999</v>
      </c>
      <c r="W58" s="2">
        <f t="shared" si="29"/>
        <v>0</v>
      </c>
      <c r="X58" s="2">
        <f t="shared" si="30"/>
        <v>27.51</v>
      </c>
      <c r="Y58" s="2">
        <f t="shared" si="31"/>
        <v>15.64</v>
      </c>
      <c r="Z58" s="2"/>
      <c r="AA58" s="2">
        <v>55656218</v>
      </c>
      <c r="AB58" s="2">
        <f t="shared" si="32"/>
        <v>1828.21</v>
      </c>
      <c r="AC58" s="2">
        <f>ROUND(((ES58*ROUND(0,7))),2)</f>
        <v>0</v>
      </c>
      <c r="AD58" s="2">
        <f>ROUND(((((ET58*ROUND(0.7,7)))-((EU58*ROUND(0.7,7))))+AE58),2)</f>
        <v>35.83</v>
      </c>
      <c r="AE58" s="2">
        <f>ROUND(((EU58*ROUND(0.7,7))),2)</f>
        <v>5.12</v>
      </c>
      <c r="AF58" s="2">
        <f>ROUND(((EV58*ROUND(0.7,7))),2)</f>
        <v>1792.38</v>
      </c>
      <c r="AG58" s="2">
        <f t="shared" si="34"/>
        <v>0</v>
      </c>
      <c r="AH58" s="2">
        <f>((EW58*ROUND(0.7,7)))</f>
        <v>202.29999999999998</v>
      </c>
      <c r="AI58" s="2">
        <f>((EX58*ROUND(0.7,7)))</f>
        <v>0.413</v>
      </c>
      <c r="AJ58" s="2">
        <f t="shared" si="36"/>
        <v>0</v>
      </c>
      <c r="AK58" s="2">
        <v>12715.19</v>
      </c>
      <c r="AL58" s="2">
        <v>10103.46</v>
      </c>
      <c r="AM58" s="2">
        <v>51.19</v>
      </c>
      <c r="AN58" s="2">
        <v>7.32</v>
      </c>
      <c r="AO58" s="2">
        <v>2560.54</v>
      </c>
      <c r="AP58" s="2">
        <v>0</v>
      </c>
      <c r="AQ58" s="2">
        <v>289</v>
      </c>
      <c r="AR58" s="2">
        <v>0.59</v>
      </c>
      <c r="AS58" s="2">
        <v>0</v>
      </c>
      <c r="AT58" s="2">
        <v>102</v>
      </c>
      <c r="AU58" s="2">
        <v>58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1</v>
      </c>
      <c r="BJ58" s="2" t="s">
        <v>101</v>
      </c>
      <c r="BK58" s="2"/>
      <c r="BL58" s="2"/>
      <c r="BM58" s="2">
        <v>6001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102</v>
      </c>
      <c r="CA58" s="2">
        <v>58</v>
      </c>
      <c r="CB58" s="2" t="s">
        <v>3</v>
      </c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28</v>
      </c>
      <c r="CO58" s="2">
        <v>0</v>
      </c>
      <c r="CP58" s="2">
        <f t="shared" si="37"/>
        <v>27.43</v>
      </c>
      <c r="CQ58" s="2">
        <f t="shared" si="38"/>
        <v>0</v>
      </c>
      <c r="CR58" s="2">
        <f>((((ET58*ROUND(0.7,7)))*BB58-((EU58*ROUND(0.7,7)))*BS58)+AE58*BS58)</f>
        <v>35.829</v>
      </c>
      <c r="CS58" s="2">
        <f t="shared" si="39"/>
        <v>5.12</v>
      </c>
      <c r="CT58" s="2">
        <f t="shared" si="40"/>
        <v>1792.38</v>
      </c>
      <c r="CU58" s="2">
        <f t="shared" si="41"/>
        <v>0</v>
      </c>
      <c r="CV58" s="2">
        <f t="shared" si="42"/>
        <v>202.29999999999998</v>
      </c>
      <c r="CW58" s="2">
        <f t="shared" si="43"/>
        <v>0.413</v>
      </c>
      <c r="CX58" s="2">
        <f t="shared" si="44"/>
        <v>0</v>
      </c>
      <c r="CY58" s="2">
        <f t="shared" si="45"/>
        <v>27.5094</v>
      </c>
      <c r="CZ58" s="2">
        <f t="shared" si="46"/>
        <v>15.6426</v>
      </c>
      <c r="DA58" s="2"/>
      <c r="DB58" s="2"/>
      <c r="DC58" s="2" t="s">
        <v>3</v>
      </c>
      <c r="DD58" s="2" t="s">
        <v>29</v>
      </c>
      <c r="DE58" s="2" t="s">
        <v>30</v>
      </c>
      <c r="DF58" s="2" t="s">
        <v>30</v>
      </c>
      <c r="DG58" s="2" t="s">
        <v>30</v>
      </c>
      <c r="DH58" s="2" t="s">
        <v>3</v>
      </c>
      <c r="DI58" s="2" t="s">
        <v>30</v>
      </c>
      <c r="DJ58" s="2" t="s">
        <v>30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1009</v>
      </c>
      <c r="DV58" s="2" t="s">
        <v>41</v>
      </c>
      <c r="DW58" s="2" t="s">
        <v>41</v>
      </c>
      <c r="DX58" s="2">
        <v>1000</v>
      </c>
      <c r="DY58" s="2"/>
      <c r="DZ58" s="2" t="s">
        <v>3</v>
      </c>
      <c r="EA58" s="2" t="s">
        <v>3</v>
      </c>
      <c r="EB58" s="2" t="s">
        <v>3</v>
      </c>
      <c r="EC58" s="2" t="s">
        <v>3</v>
      </c>
      <c r="ED58" s="2"/>
      <c r="EE58" s="2">
        <v>55471642</v>
      </c>
      <c r="EF58" s="2">
        <v>2</v>
      </c>
      <c r="EG58" s="2" t="s">
        <v>31</v>
      </c>
      <c r="EH58" s="2">
        <v>6</v>
      </c>
      <c r="EI58" s="2" t="s">
        <v>102</v>
      </c>
      <c r="EJ58" s="2">
        <v>1</v>
      </c>
      <c r="EK58" s="2">
        <v>6001</v>
      </c>
      <c r="EL58" s="2" t="s">
        <v>102</v>
      </c>
      <c r="EM58" s="2" t="s">
        <v>103</v>
      </c>
      <c r="EN58" s="2"/>
      <c r="EO58" s="2" t="s">
        <v>34</v>
      </c>
      <c r="EP58" s="2"/>
      <c r="EQ58" s="2">
        <v>0</v>
      </c>
      <c r="ER58" s="2">
        <v>12715.19</v>
      </c>
      <c r="ES58" s="2">
        <v>10103.46</v>
      </c>
      <c r="ET58" s="2">
        <v>51.19</v>
      </c>
      <c r="EU58" s="2">
        <v>7.32</v>
      </c>
      <c r="EV58" s="2">
        <v>2560.54</v>
      </c>
      <c r="EW58" s="2">
        <v>289</v>
      </c>
      <c r="EX58" s="2">
        <v>0.59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7"/>
        <v>0</v>
      </c>
      <c r="FS58" s="2">
        <v>0</v>
      </c>
      <c r="FT58" s="2"/>
      <c r="FU58" s="2"/>
      <c r="FV58" s="2"/>
      <c r="FW58" s="2"/>
      <c r="FX58" s="2">
        <v>102</v>
      </c>
      <c r="FY58" s="2">
        <v>58</v>
      </c>
      <c r="FZ58" s="2"/>
      <c r="GA58" s="2" t="s">
        <v>3</v>
      </c>
      <c r="GB58" s="2"/>
      <c r="GC58" s="2"/>
      <c r="GD58" s="2">
        <v>1</v>
      </c>
      <c r="GE58" s="2"/>
      <c r="GF58" s="2">
        <v>606826011</v>
      </c>
      <c r="GG58" s="2">
        <v>2</v>
      </c>
      <c r="GH58" s="2">
        <v>1</v>
      </c>
      <c r="GI58" s="2">
        <v>-2</v>
      </c>
      <c r="GJ58" s="2">
        <v>0</v>
      </c>
      <c r="GK58" s="2">
        <v>0</v>
      </c>
      <c r="GL58" s="2">
        <f t="shared" si="48"/>
        <v>0</v>
      </c>
      <c r="GM58" s="2">
        <f t="shared" si="49"/>
        <v>70.58</v>
      </c>
      <c r="GN58" s="2">
        <f t="shared" si="50"/>
        <v>70.58</v>
      </c>
      <c r="GO58" s="2">
        <f t="shared" si="51"/>
        <v>0</v>
      </c>
      <c r="GP58" s="2">
        <f t="shared" si="52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53"/>
        <v>0</v>
      </c>
      <c r="GW58" s="2">
        <v>1</v>
      </c>
      <c r="GX58" s="2">
        <f t="shared" si="54"/>
        <v>0</v>
      </c>
      <c r="GY58" s="2"/>
      <c r="GZ58" s="2"/>
      <c r="HA58" s="2">
        <v>0</v>
      </c>
      <c r="HB58" s="2">
        <v>0</v>
      </c>
      <c r="HC58" s="2">
        <f t="shared" si="55"/>
        <v>0</v>
      </c>
      <c r="HD58" s="2"/>
      <c r="HE58" s="2" t="s">
        <v>3</v>
      </c>
      <c r="HF58" s="2" t="s">
        <v>3</v>
      </c>
      <c r="HG58" s="2"/>
      <c r="HH58" s="2"/>
      <c r="HI58" s="2"/>
      <c r="HJ58" s="2"/>
      <c r="HK58" s="2"/>
      <c r="HL58" s="2"/>
      <c r="HM58" s="2" t="s">
        <v>3</v>
      </c>
      <c r="HN58" s="2" t="s">
        <v>104</v>
      </c>
      <c r="HO58" s="2" t="s">
        <v>105</v>
      </c>
      <c r="HP58" s="2" t="s">
        <v>102</v>
      </c>
      <c r="HQ58" s="2" t="s">
        <v>102</v>
      </c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45" ht="12.75">
      <c r="A59">
        <v>17</v>
      </c>
      <c r="B59">
        <v>1</v>
      </c>
      <c r="C59">
        <f>ROW(SmtRes!A72)</f>
        <v>72</v>
      </c>
      <c r="D59">
        <f>ROW(EtalonRes!A82)</f>
        <v>82</v>
      </c>
      <c r="E59" t="s">
        <v>98</v>
      </c>
      <c r="F59" t="s">
        <v>99</v>
      </c>
      <c r="G59" t="s">
        <v>100</v>
      </c>
      <c r="H59" t="s">
        <v>41</v>
      </c>
      <c r="I59">
        <v>0.015</v>
      </c>
      <c r="J59">
        <v>0</v>
      </c>
      <c r="K59">
        <v>0.015</v>
      </c>
      <c r="O59">
        <f t="shared" si="21"/>
        <v>1011.02</v>
      </c>
      <c r="P59">
        <f t="shared" si="22"/>
        <v>0</v>
      </c>
      <c r="Q59">
        <f t="shared" si="23"/>
        <v>7.11</v>
      </c>
      <c r="R59">
        <f t="shared" si="24"/>
        <v>2.87</v>
      </c>
      <c r="S59">
        <f t="shared" si="25"/>
        <v>1003.91</v>
      </c>
      <c r="T59">
        <f t="shared" si="26"/>
        <v>0</v>
      </c>
      <c r="U59">
        <f t="shared" si="27"/>
        <v>3.0344999999999995</v>
      </c>
      <c r="V59">
        <f t="shared" si="28"/>
        <v>0.006194999999999999</v>
      </c>
      <c r="W59">
        <f t="shared" si="29"/>
        <v>0</v>
      </c>
      <c r="X59">
        <f t="shared" si="30"/>
        <v>1026.92</v>
      </c>
      <c r="Y59">
        <f t="shared" si="31"/>
        <v>583.93</v>
      </c>
      <c r="AA59">
        <v>55657272</v>
      </c>
      <c r="AB59">
        <f t="shared" si="32"/>
        <v>1828.21</v>
      </c>
      <c r="AC59">
        <f>ROUND(((ES59*ROUND(0,7))),2)</f>
        <v>0</v>
      </c>
      <c r="AD59">
        <f>ROUND(((((ET59*ROUND(0.7,7)))-((EU59*ROUND(0.7,7))))+AE59),2)</f>
        <v>35.83</v>
      </c>
      <c r="AE59">
        <f>ROUND(((EU59*ROUND(0.7,7))),2)</f>
        <v>5.12</v>
      </c>
      <c r="AF59">
        <f>ROUND(((EV59*ROUND(0.7,7))),2)</f>
        <v>1792.38</v>
      </c>
      <c r="AG59">
        <f t="shared" si="34"/>
        <v>0</v>
      </c>
      <c r="AH59">
        <f>((EW59*ROUND(0.7,7)))</f>
        <v>202.29999999999998</v>
      </c>
      <c r="AI59">
        <f>((EX59*ROUND(0.7,7)))</f>
        <v>0.413</v>
      </c>
      <c r="AJ59">
        <f t="shared" si="36"/>
        <v>0</v>
      </c>
      <c r="AK59">
        <v>12715.19</v>
      </c>
      <c r="AL59">
        <v>10103.46</v>
      </c>
      <c r="AM59">
        <v>51.19</v>
      </c>
      <c r="AN59">
        <v>7.32</v>
      </c>
      <c r="AO59">
        <v>2560.54</v>
      </c>
      <c r="AP59">
        <v>0</v>
      </c>
      <c r="AQ59">
        <v>289</v>
      </c>
      <c r="AR59">
        <v>0.59</v>
      </c>
      <c r="AS59">
        <v>0</v>
      </c>
      <c r="AT59">
        <v>102</v>
      </c>
      <c r="AU59">
        <v>58</v>
      </c>
      <c r="AV59">
        <v>1</v>
      </c>
      <c r="AW59">
        <v>1</v>
      </c>
      <c r="AZ59">
        <v>1</v>
      </c>
      <c r="BA59">
        <v>37.34</v>
      </c>
      <c r="BB59">
        <v>13.24</v>
      </c>
      <c r="BC59">
        <v>6.72</v>
      </c>
      <c r="BH59">
        <v>0</v>
      </c>
      <c r="BI59">
        <v>1</v>
      </c>
      <c r="BJ59" t="s">
        <v>101</v>
      </c>
      <c r="BM59">
        <v>6001</v>
      </c>
      <c r="BN59">
        <v>0</v>
      </c>
      <c r="BO59" t="s">
        <v>37</v>
      </c>
      <c r="BP59">
        <v>1</v>
      </c>
      <c r="BQ59">
        <v>2</v>
      </c>
      <c r="BR59">
        <v>0</v>
      </c>
      <c r="BS59">
        <v>37.34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102</v>
      </c>
      <c r="CA59">
        <v>58</v>
      </c>
      <c r="CE59">
        <v>0</v>
      </c>
      <c r="CF59">
        <v>0</v>
      </c>
      <c r="CG59">
        <v>0</v>
      </c>
      <c r="CM59">
        <v>0</v>
      </c>
      <c r="CN59" t="s">
        <v>28</v>
      </c>
      <c r="CO59">
        <v>0</v>
      </c>
      <c r="CP59">
        <f t="shared" si="37"/>
        <v>1011.02</v>
      </c>
      <c r="CQ59">
        <f t="shared" si="38"/>
        <v>0</v>
      </c>
      <c r="CR59">
        <f>((((ET59*ROUND(0.7,7)))*BB59-((EU59*ROUND(0.7,7)))*BS59)+AE59*BS59)</f>
        <v>474.27956</v>
      </c>
      <c r="CS59">
        <f t="shared" si="39"/>
        <v>191.18080000000003</v>
      </c>
      <c r="CT59">
        <f t="shared" si="40"/>
        <v>66927.4692</v>
      </c>
      <c r="CU59">
        <f t="shared" si="41"/>
        <v>0</v>
      </c>
      <c r="CV59">
        <f t="shared" si="42"/>
        <v>202.29999999999998</v>
      </c>
      <c r="CW59">
        <f t="shared" si="43"/>
        <v>0.413</v>
      </c>
      <c r="CX59">
        <f t="shared" si="44"/>
        <v>0</v>
      </c>
      <c r="CY59">
        <f t="shared" si="45"/>
        <v>1026.9156</v>
      </c>
      <c r="CZ59">
        <f t="shared" si="46"/>
        <v>583.9324</v>
      </c>
      <c r="DD59" t="s">
        <v>29</v>
      </c>
      <c r="DE59" t="s">
        <v>30</v>
      </c>
      <c r="DF59" t="s">
        <v>30</v>
      </c>
      <c r="DG59" t="s">
        <v>30</v>
      </c>
      <c r="DI59" t="s">
        <v>30</v>
      </c>
      <c r="DJ59" t="s">
        <v>30</v>
      </c>
      <c r="DN59">
        <v>0</v>
      </c>
      <c r="DO59">
        <v>0</v>
      </c>
      <c r="DP59">
        <v>1</v>
      </c>
      <c r="DQ59">
        <v>1</v>
      </c>
      <c r="DU59">
        <v>1009</v>
      </c>
      <c r="DV59" t="s">
        <v>41</v>
      </c>
      <c r="DW59" t="s">
        <v>41</v>
      </c>
      <c r="DX59">
        <v>1000</v>
      </c>
      <c r="EE59">
        <v>55471642</v>
      </c>
      <c r="EF59">
        <v>2</v>
      </c>
      <c r="EG59" t="s">
        <v>31</v>
      </c>
      <c r="EH59">
        <v>6</v>
      </c>
      <c r="EI59" t="s">
        <v>102</v>
      </c>
      <c r="EJ59">
        <v>1</v>
      </c>
      <c r="EK59">
        <v>6001</v>
      </c>
      <c r="EL59" t="s">
        <v>102</v>
      </c>
      <c r="EM59" t="s">
        <v>103</v>
      </c>
      <c r="EO59" t="s">
        <v>34</v>
      </c>
      <c r="EQ59">
        <v>0</v>
      </c>
      <c r="ER59">
        <v>12715.19</v>
      </c>
      <c r="ES59">
        <v>10103.46</v>
      </c>
      <c r="ET59">
        <v>51.19</v>
      </c>
      <c r="EU59">
        <v>7.32</v>
      </c>
      <c r="EV59">
        <v>2560.54</v>
      </c>
      <c r="EW59">
        <v>289</v>
      </c>
      <c r="EX59">
        <v>0.59</v>
      </c>
      <c r="EY59">
        <v>0</v>
      </c>
      <c r="FQ59">
        <v>0</v>
      </c>
      <c r="FR59">
        <f t="shared" si="47"/>
        <v>0</v>
      </c>
      <c r="FS59">
        <v>0</v>
      </c>
      <c r="FX59">
        <v>102</v>
      </c>
      <c r="FY59">
        <v>58</v>
      </c>
      <c r="GD59">
        <v>1</v>
      </c>
      <c r="GF59">
        <v>606826011</v>
      </c>
      <c r="GG59">
        <v>2</v>
      </c>
      <c r="GH59">
        <v>1</v>
      </c>
      <c r="GI59">
        <v>4</v>
      </c>
      <c r="GJ59">
        <v>0</v>
      </c>
      <c r="GK59">
        <v>0</v>
      </c>
      <c r="GL59">
        <f t="shared" si="48"/>
        <v>0</v>
      </c>
      <c r="GM59">
        <f t="shared" si="49"/>
        <v>2621.87</v>
      </c>
      <c r="GN59">
        <f t="shared" si="50"/>
        <v>2621.87</v>
      </c>
      <c r="GO59">
        <f t="shared" si="51"/>
        <v>0</v>
      </c>
      <c r="GP59">
        <f t="shared" si="52"/>
        <v>0</v>
      </c>
      <c r="GR59">
        <v>0</v>
      </c>
      <c r="GS59">
        <v>3</v>
      </c>
      <c r="GT59">
        <v>0</v>
      </c>
      <c r="GV59">
        <f t="shared" si="53"/>
        <v>0</v>
      </c>
      <c r="GW59">
        <v>1</v>
      </c>
      <c r="GX59">
        <f t="shared" si="54"/>
        <v>0</v>
      </c>
      <c r="HA59">
        <v>0</v>
      </c>
      <c r="HB59">
        <v>0</v>
      </c>
      <c r="HC59">
        <f t="shared" si="55"/>
        <v>0</v>
      </c>
      <c r="HN59" t="s">
        <v>104</v>
      </c>
      <c r="HO59" t="s">
        <v>105</v>
      </c>
      <c r="HP59" t="s">
        <v>102</v>
      </c>
      <c r="HQ59" t="s">
        <v>102</v>
      </c>
      <c r="IK59">
        <v>0</v>
      </c>
    </row>
    <row r="60" spans="1:255" ht="12.75">
      <c r="A60" s="2">
        <v>18</v>
      </c>
      <c r="B60" s="2">
        <v>1</v>
      </c>
      <c r="C60" s="2">
        <v>65</v>
      </c>
      <c r="D60" s="2"/>
      <c r="E60" s="2" t="s">
        <v>106</v>
      </c>
      <c r="F60" s="2" t="s">
        <v>107</v>
      </c>
      <c r="G60" s="2" t="s">
        <v>108</v>
      </c>
      <c r="H60" s="2" t="s">
        <v>109</v>
      </c>
      <c r="I60" s="2">
        <f>I58*J60</f>
        <v>0</v>
      </c>
      <c r="J60" s="2">
        <v>0</v>
      </c>
      <c r="K60" s="2">
        <v>-0.01</v>
      </c>
      <c r="L60" s="2"/>
      <c r="M60" s="2"/>
      <c r="N60" s="2"/>
      <c r="O60" s="2">
        <f aca="true" t="shared" si="63" ref="O60:O91">ROUND(CP60,2)</f>
        <v>0</v>
      </c>
      <c r="P60" s="2">
        <f aca="true" t="shared" si="64" ref="P60:P91">ROUND(CQ60*I60,2)</f>
        <v>0</v>
      </c>
      <c r="Q60" s="2">
        <f aca="true" t="shared" si="65" ref="Q60:Q91">ROUND(CR60*I60,2)</f>
        <v>0</v>
      </c>
      <c r="R60" s="2">
        <f aca="true" t="shared" si="66" ref="R60:R91">ROUND(CS60*I60,2)</f>
        <v>0</v>
      </c>
      <c r="S60" s="2">
        <f aca="true" t="shared" si="67" ref="S60:S91">ROUND(CT60*I60,2)</f>
        <v>0</v>
      </c>
      <c r="T60" s="2">
        <f aca="true" t="shared" si="68" ref="T60:T91">ROUND(CU60*I60,2)</f>
        <v>0</v>
      </c>
      <c r="U60" s="2">
        <f aca="true" t="shared" si="69" ref="U60:U91">CV60*I60</f>
        <v>0</v>
      </c>
      <c r="V60" s="2">
        <f aca="true" t="shared" si="70" ref="V60:V91">CW60*I60</f>
        <v>0</v>
      </c>
      <c r="W60" s="2">
        <f aca="true" t="shared" si="71" ref="W60:W91">ROUND(CX60*I60,2)</f>
        <v>0</v>
      </c>
      <c r="X60" s="2">
        <f aca="true" t="shared" si="72" ref="X60:X91">ROUND(CY60,2)</f>
        <v>0</v>
      </c>
      <c r="Y60" s="2">
        <f aca="true" t="shared" si="73" ref="Y60:Y91">ROUND(CZ60,2)</f>
        <v>0</v>
      </c>
      <c r="Z60" s="2"/>
      <c r="AA60" s="2">
        <v>55656218</v>
      </c>
      <c r="AB60" s="2">
        <f aca="true" t="shared" si="74" ref="AB60:AB91">ROUND((AC60+AD60+AF60),2)</f>
        <v>346</v>
      </c>
      <c r="AC60" s="2">
        <f aca="true" t="shared" si="75" ref="AC60:AC103">ROUND((ES60),2)</f>
        <v>346</v>
      </c>
      <c r="AD60" s="2">
        <f>ROUND((((ET60)-(EU60))+AE60),2)</f>
        <v>0</v>
      </c>
      <c r="AE60" s="2">
        <f aca="true" t="shared" si="76" ref="AE60:AF63">ROUND((EU60),2)</f>
        <v>0</v>
      </c>
      <c r="AF60" s="2">
        <f t="shared" si="76"/>
        <v>0</v>
      </c>
      <c r="AG60" s="2">
        <f aca="true" t="shared" si="77" ref="AG60:AG91">ROUND((AP60),2)</f>
        <v>0</v>
      </c>
      <c r="AH60" s="2">
        <f aca="true" t="shared" si="78" ref="AH60:AI63">(EW60)</f>
        <v>0</v>
      </c>
      <c r="AI60" s="2">
        <f t="shared" si="78"/>
        <v>0</v>
      </c>
      <c r="AJ60" s="2">
        <f aca="true" t="shared" si="79" ref="AJ60:AJ91">(AS60)</f>
        <v>0</v>
      </c>
      <c r="AK60" s="2">
        <v>346</v>
      </c>
      <c r="AL60" s="2">
        <v>346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102</v>
      </c>
      <c r="AU60" s="2">
        <v>58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110</v>
      </c>
      <c r="BK60" s="2"/>
      <c r="BL60" s="2"/>
      <c r="BM60" s="2">
        <v>6001</v>
      </c>
      <c r="BN60" s="2">
        <v>0</v>
      </c>
      <c r="BO60" s="2" t="s">
        <v>3</v>
      </c>
      <c r="BP60" s="2">
        <v>0</v>
      </c>
      <c r="BQ60" s="2">
        <v>2</v>
      </c>
      <c r="BR60" s="2">
        <v>1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102</v>
      </c>
      <c r="CA60" s="2">
        <v>58</v>
      </c>
      <c r="CB60" s="2" t="s">
        <v>3</v>
      </c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28</v>
      </c>
      <c r="CO60" s="2">
        <v>0</v>
      </c>
      <c r="CP60" s="2">
        <f aca="true" t="shared" si="80" ref="CP60:CP91">(P60+Q60+S60)</f>
        <v>0</v>
      </c>
      <c r="CQ60" s="2">
        <f aca="true" t="shared" si="81" ref="CQ60:CQ91">AC60*BC60</f>
        <v>346</v>
      </c>
      <c r="CR60" s="2">
        <f>(((ET60)*BB60-(EU60)*BS60)+AE60*BS60)</f>
        <v>0</v>
      </c>
      <c r="CS60" s="2">
        <f aca="true" t="shared" si="82" ref="CS60:CS91">AE60*BS60</f>
        <v>0</v>
      </c>
      <c r="CT60" s="2">
        <f aca="true" t="shared" si="83" ref="CT60:CT91">AF60*BA60</f>
        <v>0</v>
      </c>
      <c r="CU60" s="2">
        <f aca="true" t="shared" si="84" ref="CU60:CU91">AG60</f>
        <v>0</v>
      </c>
      <c r="CV60" s="2">
        <f aca="true" t="shared" si="85" ref="CV60:CV91">AH60</f>
        <v>0</v>
      </c>
      <c r="CW60" s="2">
        <f aca="true" t="shared" si="86" ref="CW60:CW91">AI60</f>
        <v>0</v>
      </c>
      <c r="CX60" s="2">
        <f aca="true" t="shared" si="87" ref="CX60:CX91">AJ60</f>
        <v>0</v>
      </c>
      <c r="CY60" s="2">
        <f aca="true" t="shared" si="88" ref="CY60:CY91">(((S60+R60)*AT60)/100)</f>
        <v>0</v>
      </c>
      <c r="CZ60" s="2">
        <f aca="true" t="shared" si="89" ref="CZ60:CZ91">(((S60+R60)*AU60)/100)</f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109</v>
      </c>
      <c r="DW60" s="2" t="s">
        <v>109</v>
      </c>
      <c r="DX60" s="2">
        <v>1</v>
      </c>
      <c r="DY60" s="2"/>
      <c r="DZ60" s="2" t="s">
        <v>3</v>
      </c>
      <c r="EA60" s="2" t="s">
        <v>3</v>
      </c>
      <c r="EB60" s="2" t="s">
        <v>3</v>
      </c>
      <c r="EC60" s="2" t="s">
        <v>3</v>
      </c>
      <c r="ED60" s="2"/>
      <c r="EE60" s="2">
        <v>55471642</v>
      </c>
      <c r="EF60" s="2">
        <v>2</v>
      </c>
      <c r="EG60" s="2" t="s">
        <v>31</v>
      </c>
      <c r="EH60" s="2">
        <v>6</v>
      </c>
      <c r="EI60" s="2" t="s">
        <v>102</v>
      </c>
      <c r="EJ60" s="2">
        <v>1</v>
      </c>
      <c r="EK60" s="2">
        <v>6001</v>
      </c>
      <c r="EL60" s="2" t="s">
        <v>102</v>
      </c>
      <c r="EM60" s="2" t="s">
        <v>103</v>
      </c>
      <c r="EN60" s="2"/>
      <c r="EO60" s="2" t="s">
        <v>34</v>
      </c>
      <c r="EP60" s="2"/>
      <c r="EQ60" s="2">
        <v>0</v>
      </c>
      <c r="ER60" s="2">
        <v>346</v>
      </c>
      <c r="ES60" s="2">
        <v>346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aca="true" t="shared" si="90" ref="FR60:FR91">ROUND(IF(AND(BH60=3,BI60=3),P60,0),2)</f>
        <v>0</v>
      </c>
      <c r="FS60" s="2">
        <v>0</v>
      </c>
      <c r="FT60" s="2"/>
      <c r="FU60" s="2"/>
      <c r="FV60" s="2"/>
      <c r="FW60" s="2"/>
      <c r="FX60" s="2">
        <v>102</v>
      </c>
      <c r="FY60" s="2">
        <v>58</v>
      </c>
      <c r="FZ60" s="2"/>
      <c r="GA60" s="2" t="s">
        <v>3</v>
      </c>
      <c r="GB60" s="2"/>
      <c r="GC60" s="2"/>
      <c r="GD60" s="2">
        <v>1</v>
      </c>
      <c r="GE60" s="2"/>
      <c r="GF60" s="2">
        <v>1897660979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aca="true" t="shared" si="91" ref="GL60:GL91">ROUND(IF(AND(BH60=3,BI60=3,FS60&lt;&gt;0),P60,0),2)</f>
        <v>0</v>
      </c>
      <c r="GM60" s="2">
        <f aca="true" t="shared" si="92" ref="GM60:GM91">ROUND(O60+X60+Y60,2)+GX60</f>
        <v>0</v>
      </c>
      <c r="GN60" s="2">
        <f aca="true" t="shared" si="93" ref="GN60:GN91">IF(OR(BI60=0,BI60=1),ROUND(O60+X60+Y60,2),0)</f>
        <v>0</v>
      </c>
      <c r="GO60" s="2">
        <f aca="true" t="shared" si="94" ref="GO60:GO91">IF(BI60=2,ROUND(O60+X60+Y60,2),0)</f>
        <v>0</v>
      </c>
      <c r="GP60" s="2">
        <f aca="true" t="shared" si="95" ref="GP60:GP91">IF(BI60=4,ROUND(O60+X60+Y60,2)+GX60,0)</f>
        <v>0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aca="true" t="shared" si="96" ref="GV60:GV91">ROUND((GT60),2)</f>
        <v>0</v>
      </c>
      <c r="GW60" s="2">
        <v>1</v>
      </c>
      <c r="GX60" s="2">
        <f aca="true" t="shared" si="97" ref="GX60:GX91">ROUND(HC60*I60,2)</f>
        <v>0</v>
      </c>
      <c r="GY60" s="2"/>
      <c r="GZ60" s="2"/>
      <c r="HA60" s="2">
        <v>0</v>
      </c>
      <c r="HB60" s="2">
        <v>0</v>
      </c>
      <c r="HC60" s="2">
        <f aca="true" t="shared" si="98" ref="HC60:HC91">GV60*GW60</f>
        <v>0</v>
      </c>
      <c r="HD60" s="2"/>
      <c r="HE60" s="2" t="s">
        <v>3</v>
      </c>
      <c r="HF60" s="2" t="s">
        <v>3</v>
      </c>
      <c r="HG60" s="2"/>
      <c r="HH60" s="2"/>
      <c r="HI60" s="2"/>
      <c r="HJ60" s="2"/>
      <c r="HK60" s="2"/>
      <c r="HL60" s="2"/>
      <c r="HM60" s="2" t="s">
        <v>29</v>
      </c>
      <c r="HN60" s="2" t="s">
        <v>104</v>
      </c>
      <c r="HO60" s="2" t="s">
        <v>105</v>
      </c>
      <c r="HP60" s="2" t="s">
        <v>102</v>
      </c>
      <c r="HQ60" s="2" t="s">
        <v>102</v>
      </c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45" ht="12.75">
      <c r="A61">
        <v>18</v>
      </c>
      <c r="B61">
        <v>1</v>
      </c>
      <c r="C61">
        <v>71</v>
      </c>
      <c r="E61" t="s">
        <v>106</v>
      </c>
      <c r="F61" t="s">
        <v>107</v>
      </c>
      <c r="G61" t="s">
        <v>108</v>
      </c>
      <c r="H61" t="s">
        <v>109</v>
      </c>
      <c r="I61">
        <f>I59*J61</f>
        <v>0</v>
      </c>
      <c r="J61">
        <v>0</v>
      </c>
      <c r="K61">
        <v>-0.01</v>
      </c>
      <c r="O61">
        <f t="shared" si="63"/>
        <v>0</v>
      </c>
      <c r="P61">
        <f t="shared" si="64"/>
        <v>0</v>
      </c>
      <c r="Q61">
        <f t="shared" si="65"/>
        <v>0</v>
      </c>
      <c r="R61">
        <f t="shared" si="66"/>
        <v>0</v>
      </c>
      <c r="S61">
        <f t="shared" si="67"/>
        <v>0</v>
      </c>
      <c r="T61">
        <f t="shared" si="68"/>
        <v>0</v>
      </c>
      <c r="U61">
        <f t="shared" si="69"/>
        <v>0</v>
      </c>
      <c r="V61">
        <f t="shared" si="70"/>
        <v>0</v>
      </c>
      <c r="W61">
        <f t="shared" si="71"/>
        <v>0</v>
      </c>
      <c r="X61">
        <f t="shared" si="72"/>
        <v>0</v>
      </c>
      <c r="Y61">
        <f t="shared" si="73"/>
        <v>0</v>
      </c>
      <c r="AA61">
        <v>55657272</v>
      </c>
      <c r="AB61">
        <f t="shared" si="74"/>
        <v>346</v>
      </c>
      <c r="AC61">
        <f t="shared" si="75"/>
        <v>346</v>
      </c>
      <c r="AD61">
        <f>ROUND((((ET61)-(EU61))+AE61),2)</f>
        <v>0</v>
      </c>
      <c r="AE61">
        <f t="shared" si="76"/>
        <v>0</v>
      </c>
      <c r="AF61">
        <f t="shared" si="76"/>
        <v>0</v>
      </c>
      <c r="AG61">
        <f t="shared" si="77"/>
        <v>0</v>
      </c>
      <c r="AH61">
        <f t="shared" si="78"/>
        <v>0</v>
      </c>
      <c r="AI61">
        <f t="shared" si="78"/>
        <v>0</v>
      </c>
      <c r="AJ61">
        <f t="shared" si="79"/>
        <v>0</v>
      </c>
      <c r="AK61">
        <v>346</v>
      </c>
      <c r="AL61">
        <v>346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102</v>
      </c>
      <c r="AU61">
        <v>58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6.72</v>
      </c>
      <c r="BH61">
        <v>3</v>
      </c>
      <c r="BI61">
        <v>1</v>
      </c>
      <c r="BJ61" t="s">
        <v>110</v>
      </c>
      <c r="BM61">
        <v>6001</v>
      </c>
      <c r="BN61">
        <v>0</v>
      </c>
      <c r="BO61" t="s">
        <v>37</v>
      </c>
      <c r="BP61">
        <v>1</v>
      </c>
      <c r="BQ61">
        <v>2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102</v>
      </c>
      <c r="CA61">
        <v>58</v>
      </c>
      <c r="CE61">
        <v>0</v>
      </c>
      <c r="CF61">
        <v>0</v>
      </c>
      <c r="CG61">
        <v>0</v>
      </c>
      <c r="CM61">
        <v>0</v>
      </c>
      <c r="CN61" t="s">
        <v>28</v>
      </c>
      <c r="CO61">
        <v>0</v>
      </c>
      <c r="CP61">
        <f t="shared" si="80"/>
        <v>0</v>
      </c>
      <c r="CQ61">
        <f t="shared" si="81"/>
        <v>2325.12</v>
      </c>
      <c r="CR61">
        <f>(((ET61)*BB61-(EU61)*BS61)+AE61*BS61)</f>
        <v>0</v>
      </c>
      <c r="CS61">
        <f t="shared" si="82"/>
        <v>0</v>
      </c>
      <c r="CT61">
        <f t="shared" si="83"/>
        <v>0</v>
      </c>
      <c r="CU61">
        <f t="shared" si="84"/>
        <v>0</v>
      </c>
      <c r="CV61">
        <f t="shared" si="85"/>
        <v>0</v>
      </c>
      <c r="CW61">
        <f t="shared" si="86"/>
        <v>0</v>
      </c>
      <c r="CX61">
        <f t="shared" si="87"/>
        <v>0</v>
      </c>
      <c r="CY61">
        <f t="shared" si="88"/>
        <v>0</v>
      </c>
      <c r="CZ61">
        <f t="shared" si="89"/>
        <v>0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109</v>
      </c>
      <c r="DW61" t="s">
        <v>109</v>
      </c>
      <c r="DX61">
        <v>1</v>
      </c>
      <c r="EE61">
        <v>55471642</v>
      </c>
      <c r="EF61">
        <v>2</v>
      </c>
      <c r="EG61" t="s">
        <v>31</v>
      </c>
      <c r="EH61">
        <v>6</v>
      </c>
      <c r="EI61" t="s">
        <v>102</v>
      </c>
      <c r="EJ61">
        <v>1</v>
      </c>
      <c r="EK61">
        <v>6001</v>
      </c>
      <c r="EL61" t="s">
        <v>102</v>
      </c>
      <c r="EM61" t="s">
        <v>103</v>
      </c>
      <c r="EO61" t="s">
        <v>34</v>
      </c>
      <c r="EQ61">
        <v>0</v>
      </c>
      <c r="ER61">
        <v>346</v>
      </c>
      <c r="ES61">
        <v>346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90"/>
        <v>0</v>
      </c>
      <c r="FS61">
        <v>0</v>
      </c>
      <c r="FX61">
        <v>102</v>
      </c>
      <c r="FY61">
        <v>58</v>
      </c>
      <c r="GD61">
        <v>1</v>
      </c>
      <c r="GF61">
        <v>1897660979</v>
      </c>
      <c r="GG61">
        <v>2</v>
      </c>
      <c r="GH61">
        <v>1</v>
      </c>
      <c r="GI61">
        <v>4</v>
      </c>
      <c r="GJ61">
        <v>0</v>
      </c>
      <c r="GK61">
        <v>0</v>
      </c>
      <c r="GL61">
        <f t="shared" si="91"/>
        <v>0</v>
      </c>
      <c r="GM61">
        <f t="shared" si="92"/>
        <v>0</v>
      </c>
      <c r="GN61">
        <f t="shared" si="93"/>
        <v>0</v>
      </c>
      <c r="GO61">
        <f t="shared" si="94"/>
        <v>0</v>
      </c>
      <c r="GP61">
        <f t="shared" si="95"/>
        <v>0</v>
      </c>
      <c r="GR61">
        <v>0</v>
      </c>
      <c r="GS61">
        <v>3</v>
      </c>
      <c r="GT61">
        <v>0</v>
      </c>
      <c r="GV61">
        <f t="shared" si="96"/>
        <v>0</v>
      </c>
      <c r="GW61">
        <v>1</v>
      </c>
      <c r="GX61">
        <f t="shared" si="97"/>
        <v>0</v>
      </c>
      <c r="HA61">
        <v>0</v>
      </c>
      <c r="HB61">
        <v>0</v>
      </c>
      <c r="HC61">
        <f t="shared" si="98"/>
        <v>0</v>
      </c>
      <c r="HM61" t="s">
        <v>29</v>
      </c>
      <c r="HN61" t="s">
        <v>104</v>
      </c>
      <c r="HO61" t="s">
        <v>105</v>
      </c>
      <c r="HP61" t="s">
        <v>102</v>
      </c>
      <c r="HQ61" t="s">
        <v>102</v>
      </c>
      <c r="IK61">
        <v>0</v>
      </c>
    </row>
    <row r="62" spans="1:255" ht="12.75">
      <c r="A62" s="2">
        <v>18</v>
      </c>
      <c r="B62" s="2">
        <v>1</v>
      </c>
      <c r="C62" s="2">
        <v>66</v>
      </c>
      <c r="D62" s="2"/>
      <c r="E62" s="2" t="s">
        <v>111</v>
      </c>
      <c r="F62" s="2" t="s">
        <v>112</v>
      </c>
      <c r="G62" s="2" t="s">
        <v>113</v>
      </c>
      <c r="H62" s="2" t="s">
        <v>41</v>
      </c>
      <c r="I62" s="2">
        <f>I58*J62</f>
        <v>0</v>
      </c>
      <c r="J62" s="2">
        <v>0</v>
      </c>
      <c r="K62" s="2">
        <v>-1</v>
      </c>
      <c r="L62" s="2"/>
      <c r="M62" s="2"/>
      <c r="N62" s="2"/>
      <c r="O62" s="2">
        <f t="shared" si="63"/>
        <v>0</v>
      </c>
      <c r="P62" s="2">
        <f t="shared" si="64"/>
        <v>0</v>
      </c>
      <c r="Q62" s="2">
        <f t="shared" si="65"/>
        <v>0</v>
      </c>
      <c r="R62" s="2">
        <f t="shared" si="66"/>
        <v>0</v>
      </c>
      <c r="S62" s="2">
        <f t="shared" si="67"/>
        <v>0</v>
      </c>
      <c r="T62" s="2">
        <f t="shared" si="68"/>
        <v>0</v>
      </c>
      <c r="U62" s="2">
        <f t="shared" si="69"/>
        <v>0</v>
      </c>
      <c r="V62" s="2">
        <f t="shared" si="70"/>
        <v>0</v>
      </c>
      <c r="W62" s="2">
        <f t="shared" si="71"/>
        <v>0</v>
      </c>
      <c r="X62" s="2">
        <f t="shared" si="72"/>
        <v>0</v>
      </c>
      <c r="Y62" s="2">
        <f t="shared" si="73"/>
        <v>0</v>
      </c>
      <c r="Z62" s="2"/>
      <c r="AA62" s="2">
        <v>55656218</v>
      </c>
      <c r="AB62" s="2">
        <f t="shared" si="74"/>
        <v>10100</v>
      </c>
      <c r="AC62" s="2">
        <f t="shared" si="75"/>
        <v>10100</v>
      </c>
      <c r="AD62" s="2">
        <f>ROUND((((ET62)-(EU62))+AE62),2)</f>
        <v>0</v>
      </c>
      <c r="AE62" s="2">
        <f t="shared" si="76"/>
        <v>0</v>
      </c>
      <c r="AF62" s="2">
        <f t="shared" si="76"/>
        <v>0</v>
      </c>
      <c r="AG62" s="2">
        <f t="shared" si="77"/>
        <v>0</v>
      </c>
      <c r="AH62" s="2">
        <f t="shared" si="78"/>
        <v>0</v>
      </c>
      <c r="AI62" s="2">
        <f t="shared" si="78"/>
        <v>0</v>
      </c>
      <c r="AJ62" s="2">
        <f t="shared" si="79"/>
        <v>0</v>
      </c>
      <c r="AK62" s="2">
        <v>10100</v>
      </c>
      <c r="AL62" s="2">
        <v>10100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102</v>
      </c>
      <c r="AU62" s="2">
        <v>58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114</v>
      </c>
      <c r="BK62" s="2"/>
      <c r="BL62" s="2"/>
      <c r="BM62" s="2">
        <v>6001</v>
      </c>
      <c r="BN62" s="2">
        <v>0</v>
      </c>
      <c r="BO62" s="2" t="s">
        <v>3</v>
      </c>
      <c r="BP62" s="2">
        <v>0</v>
      </c>
      <c r="BQ62" s="2">
        <v>2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102</v>
      </c>
      <c r="CA62" s="2">
        <v>58</v>
      </c>
      <c r="CB62" s="2" t="s">
        <v>3</v>
      </c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28</v>
      </c>
      <c r="CO62" s="2">
        <v>0</v>
      </c>
      <c r="CP62" s="2">
        <f t="shared" si="80"/>
        <v>0</v>
      </c>
      <c r="CQ62" s="2">
        <f t="shared" si="81"/>
        <v>10100</v>
      </c>
      <c r="CR62" s="2">
        <f>(((ET62)*BB62-(EU62)*BS62)+AE62*BS62)</f>
        <v>0</v>
      </c>
      <c r="CS62" s="2">
        <f t="shared" si="82"/>
        <v>0</v>
      </c>
      <c r="CT62" s="2">
        <f t="shared" si="83"/>
        <v>0</v>
      </c>
      <c r="CU62" s="2">
        <f t="shared" si="84"/>
        <v>0</v>
      </c>
      <c r="CV62" s="2">
        <f t="shared" si="85"/>
        <v>0</v>
      </c>
      <c r="CW62" s="2">
        <f t="shared" si="86"/>
        <v>0</v>
      </c>
      <c r="CX62" s="2">
        <f t="shared" si="87"/>
        <v>0</v>
      </c>
      <c r="CY62" s="2">
        <f t="shared" si="88"/>
        <v>0</v>
      </c>
      <c r="CZ62" s="2">
        <f t="shared" si="89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41</v>
      </c>
      <c r="DW62" s="2" t="s">
        <v>41</v>
      </c>
      <c r="DX62" s="2">
        <v>1000</v>
      </c>
      <c r="DY62" s="2"/>
      <c r="DZ62" s="2" t="s">
        <v>3</v>
      </c>
      <c r="EA62" s="2" t="s">
        <v>3</v>
      </c>
      <c r="EB62" s="2" t="s">
        <v>3</v>
      </c>
      <c r="EC62" s="2" t="s">
        <v>3</v>
      </c>
      <c r="ED62" s="2"/>
      <c r="EE62" s="2">
        <v>55471642</v>
      </c>
      <c r="EF62" s="2">
        <v>2</v>
      </c>
      <c r="EG62" s="2" t="s">
        <v>31</v>
      </c>
      <c r="EH62" s="2">
        <v>6</v>
      </c>
      <c r="EI62" s="2" t="s">
        <v>102</v>
      </c>
      <c r="EJ62" s="2">
        <v>1</v>
      </c>
      <c r="EK62" s="2">
        <v>6001</v>
      </c>
      <c r="EL62" s="2" t="s">
        <v>102</v>
      </c>
      <c r="EM62" s="2" t="s">
        <v>103</v>
      </c>
      <c r="EN62" s="2"/>
      <c r="EO62" s="2" t="s">
        <v>34</v>
      </c>
      <c r="EP62" s="2"/>
      <c r="EQ62" s="2">
        <v>0</v>
      </c>
      <c r="ER62" s="2">
        <v>10100</v>
      </c>
      <c r="ES62" s="2">
        <v>10100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90"/>
        <v>0</v>
      </c>
      <c r="FS62" s="2">
        <v>0</v>
      </c>
      <c r="FT62" s="2"/>
      <c r="FU62" s="2"/>
      <c r="FV62" s="2"/>
      <c r="FW62" s="2"/>
      <c r="FX62" s="2">
        <v>102</v>
      </c>
      <c r="FY62" s="2">
        <v>58</v>
      </c>
      <c r="FZ62" s="2"/>
      <c r="GA62" s="2" t="s">
        <v>3</v>
      </c>
      <c r="GB62" s="2"/>
      <c r="GC62" s="2"/>
      <c r="GD62" s="2">
        <v>1</v>
      </c>
      <c r="GE62" s="2"/>
      <c r="GF62" s="2">
        <v>-1788787296</v>
      </c>
      <c r="GG62" s="2">
        <v>2</v>
      </c>
      <c r="GH62" s="2">
        <v>1</v>
      </c>
      <c r="GI62" s="2">
        <v>-2</v>
      </c>
      <c r="GJ62" s="2">
        <v>0</v>
      </c>
      <c r="GK62" s="2">
        <v>0</v>
      </c>
      <c r="GL62" s="2">
        <f t="shared" si="91"/>
        <v>0</v>
      </c>
      <c r="GM62" s="2">
        <f t="shared" si="92"/>
        <v>0</v>
      </c>
      <c r="GN62" s="2">
        <f t="shared" si="93"/>
        <v>0</v>
      </c>
      <c r="GO62" s="2">
        <f t="shared" si="94"/>
        <v>0</v>
      </c>
      <c r="GP62" s="2">
        <f t="shared" si="95"/>
        <v>0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6"/>
        <v>0</v>
      </c>
      <c r="GW62" s="2">
        <v>1</v>
      </c>
      <c r="GX62" s="2">
        <f t="shared" si="97"/>
        <v>0</v>
      </c>
      <c r="GY62" s="2"/>
      <c r="GZ62" s="2"/>
      <c r="HA62" s="2">
        <v>0</v>
      </c>
      <c r="HB62" s="2">
        <v>0</v>
      </c>
      <c r="HC62" s="2">
        <f t="shared" si="98"/>
        <v>0</v>
      </c>
      <c r="HD62" s="2"/>
      <c r="HE62" s="2" t="s">
        <v>3</v>
      </c>
      <c r="HF62" s="2" t="s">
        <v>3</v>
      </c>
      <c r="HG62" s="2"/>
      <c r="HH62" s="2"/>
      <c r="HI62" s="2"/>
      <c r="HJ62" s="2"/>
      <c r="HK62" s="2"/>
      <c r="HL62" s="2"/>
      <c r="HM62" s="2" t="s">
        <v>29</v>
      </c>
      <c r="HN62" s="2" t="s">
        <v>104</v>
      </c>
      <c r="HO62" s="2" t="s">
        <v>105</v>
      </c>
      <c r="HP62" s="2" t="s">
        <v>102</v>
      </c>
      <c r="HQ62" s="2" t="s">
        <v>102</v>
      </c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45" ht="12.75">
      <c r="A63">
        <v>18</v>
      </c>
      <c r="B63">
        <v>1</v>
      </c>
      <c r="C63">
        <v>72</v>
      </c>
      <c r="E63" t="s">
        <v>111</v>
      </c>
      <c r="F63" t="s">
        <v>112</v>
      </c>
      <c r="G63" t="s">
        <v>113</v>
      </c>
      <c r="H63" t="s">
        <v>41</v>
      </c>
      <c r="I63">
        <f>I59*J63</f>
        <v>0</v>
      </c>
      <c r="J63">
        <v>0</v>
      </c>
      <c r="K63">
        <v>-1</v>
      </c>
      <c r="O63">
        <f t="shared" si="63"/>
        <v>0</v>
      </c>
      <c r="P63">
        <f t="shared" si="64"/>
        <v>0</v>
      </c>
      <c r="Q63">
        <f t="shared" si="65"/>
        <v>0</v>
      </c>
      <c r="R63">
        <f t="shared" si="66"/>
        <v>0</v>
      </c>
      <c r="S63">
        <f t="shared" si="67"/>
        <v>0</v>
      </c>
      <c r="T63">
        <f t="shared" si="68"/>
        <v>0</v>
      </c>
      <c r="U63">
        <f t="shared" si="69"/>
        <v>0</v>
      </c>
      <c r="V63">
        <f t="shared" si="70"/>
        <v>0</v>
      </c>
      <c r="W63">
        <f t="shared" si="71"/>
        <v>0</v>
      </c>
      <c r="X63">
        <f t="shared" si="72"/>
        <v>0</v>
      </c>
      <c r="Y63">
        <f t="shared" si="73"/>
        <v>0</v>
      </c>
      <c r="AA63">
        <v>55657272</v>
      </c>
      <c r="AB63">
        <f t="shared" si="74"/>
        <v>10100</v>
      </c>
      <c r="AC63">
        <f t="shared" si="75"/>
        <v>10100</v>
      </c>
      <c r="AD63">
        <f>ROUND((((ET63)-(EU63))+AE63),2)</f>
        <v>0</v>
      </c>
      <c r="AE63">
        <f t="shared" si="76"/>
        <v>0</v>
      </c>
      <c r="AF63">
        <f t="shared" si="76"/>
        <v>0</v>
      </c>
      <c r="AG63">
        <f t="shared" si="77"/>
        <v>0</v>
      </c>
      <c r="AH63">
        <f t="shared" si="78"/>
        <v>0</v>
      </c>
      <c r="AI63">
        <f t="shared" si="78"/>
        <v>0</v>
      </c>
      <c r="AJ63">
        <f t="shared" si="79"/>
        <v>0</v>
      </c>
      <c r="AK63">
        <v>10100</v>
      </c>
      <c r="AL63">
        <v>10100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102</v>
      </c>
      <c r="AU63">
        <v>58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6.72</v>
      </c>
      <c r="BH63">
        <v>3</v>
      </c>
      <c r="BI63">
        <v>1</v>
      </c>
      <c r="BJ63" t="s">
        <v>114</v>
      </c>
      <c r="BM63">
        <v>6001</v>
      </c>
      <c r="BN63">
        <v>0</v>
      </c>
      <c r="BO63" t="s">
        <v>37</v>
      </c>
      <c r="BP63">
        <v>1</v>
      </c>
      <c r="BQ63">
        <v>2</v>
      </c>
      <c r="BR63">
        <v>1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102</v>
      </c>
      <c r="CA63">
        <v>58</v>
      </c>
      <c r="CE63">
        <v>0</v>
      </c>
      <c r="CF63">
        <v>0</v>
      </c>
      <c r="CG63">
        <v>0</v>
      </c>
      <c r="CM63">
        <v>0</v>
      </c>
      <c r="CN63" t="s">
        <v>28</v>
      </c>
      <c r="CO63">
        <v>0</v>
      </c>
      <c r="CP63">
        <f t="shared" si="80"/>
        <v>0</v>
      </c>
      <c r="CQ63">
        <f t="shared" si="81"/>
        <v>67872</v>
      </c>
      <c r="CR63">
        <f>(((ET63)*BB63-(EU63)*BS63)+AE63*BS63)</f>
        <v>0</v>
      </c>
      <c r="CS63">
        <f t="shared" si="82"/>
        <v>0</v>
      </c>
      <c r="CT63">
        <f t="shared" si="83"/>
        <v>0</v>
      </c>
      <c r="CU63">
        <f t="shared" si="84"/>
        <v>0</v>
      </c>
      <c r="CV63">
        <f t="shared" si="85"/>
        <v>0</v>
      </c>
      <c r="CW63">
        <f t="shared" si="86"/>
        <v>0</v>
      </c>
      <c r="CX63">
        <f t="shared" si="87"/>
        <v>0</v>
      </c>
      <c r="CY63">
        <f t="shared" si="88"/>
        <v>0</v>
      </c>
      <c r="CZ63">
        <f t="shared" si="89"/>
        <v>0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41</v>
      </c>
      <c r="DW63" t="s">
        <v>41</v>
      </c>
      <c r="DX63">
        <v>1000</v>
      </c>
      <c r="EE63">
        <v>55471642</v>
      </c>
      <c r="EF63">
        <v>2</v>
      </c>
      <c r="EG63" t="s">
        <v>31</v>
      </c>
      <c r="EH63">
        <v>6</v>
      </c>
      <c r="EI63" t="s">
        <v>102</v>
      </c>
      <c r="EJ63">
        <v>1</v>
      </c>
      <c r="EK63">
        <v>6001</v>
      </c>
      <c r="EL63" t="s">
        <v>102</v>
      </c>
      <c r="EM63" t="s">
        <v>103</v>
      </c>
      <c r="EO63" t="s">
        <v>34</v>
      </c>
      <c r="EQ63">
        <v>0</v>
      </c>
      <c r="ER63">
        <v>10100</v>
      </c>
      <c r="ES63">
        <v>10100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90"/>
        <v>0</v>
      </c>
      <c r="FS63">
        <v>0</v>
      </c>
      <c r="FX63">
        <v>102</v>
      </c>
      <c r="FY63">
        <v>58</v>
      </c>
      <c r="GD63">
        <v>1</v>
      </c>
      <c r="GF63">
        <v>-1788787296</v>
      </c>
      <c r="GG63">
        <v>2</v>
      </c>
      <c r="GH63">
        <v>1</v>
      </c>
      <c r="GI63">
        <v>4</v>
      </c>
      <c r="GJ63">
        <v>0</v>
      </c>
      <c r="GK63">
        <v>0</v>
      </c>
      <c r="GL63">
        <f t="shared" si="91"/>
        <v>0</v>
      </c>
      <c r="GM63">
        <f t="shared" si="92"/>
        <v>0</v>
      </c>
      <c r="GN63">
        <f t="shared" si="93"/>
        <v>0</v>
      </c>
      <c r="GO63">
        <f t="shared" si="94"/>
        <v>0</v>
      </c>
      <c r="GP63">
        <f t="shared" si="95"/>
        <v>0</v>
      </c>
      <c r="GR63">
        <v>0</v>
      </c>
      <c r="GS63">
        <v>3</v>
      </c>
      <c r="GT63">
        <v>0</v>
      </c>
      <c r="GV63">
        <f t="shared" si="96"/>
        <v>0</v>
      </c>
      <c r="GW63">
        <v>1</v>
      </c>
      <c r="GX63">
        <f t="shared" si="97"/>
        <v>0</v>
      </c>
      <c r="HA63">
        <v>0</v>
      </c>
      <c r="HB63">
        <v>0</v>
      </c>
      <c r="HC63">
        <f t="shared" si="98"/>
        <v>0</v>
      </c>
      <c r="HM63" t="s">
        <v>29</v>
      </c>
      <c r="HN63" t="s">
        <v>104</v>
      </c>
      <c r="HO63" t="s">
        <v>105</v>
      </c>
      <c r="HP63" t="s">
        <v>102</v>
      </c>
      <c r="HQ63" t="s">
        <v>102</v>
      </c>
      <c r="IK63">
        <v>0</v>
      </c>
    </row>
    <row r="64" spans="1:255" ht="12.75">
      <c r="A64" s="2">
        <v>17</v>
      </c>
      <c r="B64" s="2">
        <v>1</v>
      </c>
      <c r="C64" s="2">
        <f>ROW(SmtRes!A94)</f>
        <v>94</v>
      </c>
      <c r="D64" s="2">
        <f>ROW(EtalonRes!A104)</f>
        <v>104</v>
      </c>
      <c r="E64" s="2" t="s">
        <v>115</v>
      </c>
      <c r="F64" s="2" t="s">
        <v>39</v>
      </c>
      <c r="G64" s="2" t="s">
        <v>116</v>
      </c>
      <c r="H64" s="2" t="s">
        <v>41</v>
      </c>
      <c r="I64" s="2">
        <v>0.24</v>
      </c>
      <c r="J64" s="2">
        <v>0</v>
      </c>
      <c r="K64" s="2">
        <v>0.24</v>
      </c>
      <c r="L64" s="2"/>
      <c r="M64" s="2"/>
      <c r="N64" s="2"/>
      <c r="O64" s="2">
        <f t="shared" si="63"/>
        <v>209.78</v>
      </c>
      <c r="P64" s="2">
        <f t="shared" si="64"/>
        <v>25.52</v>
      </c>
      <c r="Q64" s="2">
        <f t="shared" si="65"/>
        <v>140.3</v>
      </c>
      <c r="R64" s="2">
        <f t="shared" si="66"/>
        <v>12.85</v>
      </c>
      <c r="S64" s="2">
        <f t="shared" si="67"/>
        <v>43.96</v>
      </c>
      <c r="T64" s="2">
        <f t="shared" si="68"/>
        <v>0</v>
      </c>
      <c r="U64" s="2">
        <f t="shared" si="69"/>
        <v>4.305599999999999</v>
      </c>
      <c r="V64" s="2">
        <f t="shared" si="70"/>
        <v>0.8639999999999999</v>
      </c>
      <c r="W64" s="2">
        <f t="shared" si="71"/>
        <v>0</v>
      </c>
      <c r="X64" s="2">
        <f t="shared" si="72"/>
        <v>52.83</v>
      </c>
      <c r="Y64" s="2">
        <f t="shared" si="73"/>
        <v>29.94</v>
      </c>
      <c r="Z64" s="2"/>
      <c r="AA64" s="2">
        <v>55656218</v>
      </c>
      <c r="AB64" s="2">
        <f t="shared" si="74"/>
        <v>874.1</v>
      </c>
      <c r="AC64" s="2">
        <f t="shared" si="75"/>
        <v>106.34</v>
      </c>
      <c r="AD64" s="2">
        <f>ROUND(((((ET64*ROUND(1.25,7)))-((EU64*ROUND(1.25,7))))+AE64),2)</f>
        <v>584.59</v>
      </c>
      <c r="AE64" s="2">
        <f>ROUND(((EU64*ROUND(1.25,7))),2)</f>
        <v>53.55</v>
      </c>
      <c r="AF64" s="2">
        <f>ROUND(((EV64*ROUND(1.15,7))),2)</f>
        <v>183.17</v>
      </c>
      <c r="AG64" s="2">
        <f t="shared" si="77"/>
        <v>0</v>
      </c>
      <c r="AH64" s="2">
        <f>((EW64*ROUND(1.15,7)))</f>
        <v>17.939999999999998</v>
      </c>
      <c r="AI64" s="2">
        <f>((EX64*ROUND(1.25,7)))</f>
        <v>3.5999999999999996</v>
      </c>
      <c r="AJ64" s="2">
        <f t="shared" si="79"/>
        <v>0</v>
      </c>
      <c r="AK64" s="2">
        <v>733.29</v>
      </c>
      <c r="AL64" s="2">
        <v>106.34</v>
      </c>
      <c r="AM64" s="2">
        <v>467.67</v>
      </c>
      <c r="AN64" s="2">
        <v>42.84</v>
      </c>
      <c r="AO64" s="2">
        <v>159.28</v>
      </c>
      <c r="AP64" s="2">
        <v>0</v>
      </c>
      <c r="AQ64" s="2">
        <v>15.6</v>
      </c>
      <c r="AR64" s="2">
        <v>2.88</v>
      </c>
      <c r="AS64" s="2">
        <v>0</v>
      </c>
      <c r="AT64" s="2">
        <v>93</v>
      </c>
      <c r="AU64" s="2">
        <v>52.7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1</v>
      </c>
      <c r="BJ64" s="2" t="s">
        <v>42</v>
      </c>
      <c r="BK64" s="2"/>
      <c r="BL64" s="2"/>
      <c r="BM64" s="2">
        <v>9001</v>
      </c>
      <c r="BN64" s="2">
        <v>0</v>
      </c>
      <c r="BO64" s="2" t="s">
        <v>3</v>
      </c>
      <c r="BP64" s="2">
        <v>0</v>
      </c>
      <c r="BQ64" s="2">
        <v>2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93</v>
      </c>
      <c r="CA64" s="2">
        <v>62</v>
      </c>
      <c r="CB64" s="2" t="s">
        <v>3</v>
      </c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475</v>
      </c>
      <c r="CO64" s="2">
        <v>0</v>
      </c>
      <c r="CP64" s="2">
        <f t="shared" si="80"/>
        <v>209.78000000000003</v>
      </c>
      <c r="CQ64" s="2">
        <f t="shared" si="81"/>
        <v>106.34</v>
      </c>
      <c r="CR64" s="2">
        <f>((((ET64*ROUND(1.25,7)))*BB64-((EU64*ROUND(1.25,7)))*BS64)+AE64*BS64)</f>
        <v>584.5875</v>
      </c>
      <c r="CS64" s="2">
        <f t="shared" si="82"/>
        <v>53.55</v>
      </c>
      <c r="CT64" s="2">
        <f t="shared" si="83"/>
        <v>183.17</v>
      </c>
      <c r="CU64" s="2">
        <f t="shared" si="84"/>
        <v>0</v>
      </c>
      <c r="CV64" s="2">
        <f t="shared" si="85"/>
        <v>17.939999999999998</v>
      </c>
      <c r="CW64" s="2">
        <f t="shared" si="86"/>
        <v>3.5999999999999996</v>
      </c>
      <c r="CX64" s="2">
        <f t="shared" si="87"/>
        <v>0</v>
      </c>
      <c r="CY64" s="2">
        <f t="shared" si="88"/>
        <v>52.8333</v>
      </c>
      <c r="CZ64" s="2">
        <f t="shared" si="89"/>
        <v>29.93887</v>
      </c>
      <c r="DA64" s="2"/>
      <c r="DB64" s="2"/>
      <c r="DC64" s="2" t="s">
        <v>3</v>
      </c>
      <c r="DD64" s="2" t="s">
        <v>3</v>
      </c>
      <c r="DE64" s="2" t="s">
        <v>117</v>
      </c>
      <c r="DF64" s="2" t="s">
        <v>117</v>
      </c>
      <c r="DG64" s="2" t="s">
        <v>118</v>
      </c>
      <c r="DH64" s="2" t="s">
        <v>3</v>
      </c>
      <c r="DI64" s="2" t="s">
        <v>118</v>
      </c>
      <c r="DJ64" s="2" t="s">
        <v>117</v>
      </c>
      <c r="DK64" s="2" t="s">
        <v>3</v>
      </c>
      <c r="DL64" s="2" t="s">
        <v>3</v>
      </c>
      <c r="DM64" s="2" t="s">
        <v>119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41</v>
      </c>
      <c r="DW64" s="2" t="s">
        <v>41</v>
      </c>
      <c r="DX64" s="2">
        <v>1000</v>
      </c>
      <c r="DY64" s="2"/>
      <c r="DZ64" s="2" t="s">
        <v>3</v>
      </c>
      <c r="EA64" s="2" t="s">
        <v>3</v>
      </c>
      <c r="EB64" s="2" t="s">
        <v>3</v>
      </c>
      <c r="EC64" s="2" t="s">
        <v>3</v>
      </c>
      <c r="ED64" s="2"/>
      <c r="EE64" s="2">
        <v>55471659</v>
      </c>
      <c r="EF64" s="2">
        <v>2</v>
      </c>
      <c r="EG64" s="2" t="s">
        <v>31</v>
      </c>
      <c r="EH64" s="2">
        <v>9</v>
      </c>
      <c r="EI64" s="2" t="s">
        <v>32</v>
      </c>
      <c r="EJ64" s="2">
        <v>1</v>
      </c>
      <c r="EK64" s="2">
        <v>9001</v>
      </c>
      <c r="EL64" s="2" t="s">
        <v>32</v>
      </c>
      <c r="EM64" s="2" t="s">
        <v>33</v>
      </c>
      <c r="EN64" s="2"/>
      <c r="EO64" s="2" t="s">
        <v>120</v>
      </c>
      <c r="EP64" s="2"/>
      <c r="EQ64" s="2">
        <v>0</v>
      </c>
      <c r="ER64" s="2">
        <v>733.29</v>
      </c>
      <c r="ES64" s="2">
        <v>106.34</v>
      </c>
      <c r="ET64" s="2">
        <v>467.67</v>
      </c>
      <c r="EU64" s="2">
        <v>42.84</v>
      </c>
      <c r="EV64" s="2">
        <v>159.28</v>
      </c>
      <c r="EW64" s="2">
        <v>15.6</v>
      </c>
      <c r="EX64" s="2">
        <v>2.88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90"/>
        <v>0</v>
      </c>
      <c r="FS64" s="2">
        <v>0</v>
      </c>
      <c r="FT64" s="2"/>
      <c r="FU64" s="2"/>
      <c r="FV64" s="2"/>
      <c r="FW64" s="2"/>
      <c r="FX64" s="2">
        <v>93</v>
      </c>
      <c r="FY64" s="2">
        <v>52.7</v>
      </c>
      <c r="FZ64" s="2"/>
      <c r="GA64" s="2" t="s">
        <v>3</v>
      </c>
      <c r="GB64" s="2"/>
      <c r="GC64" s="2"/>
      <c r="GD64" s="2">
        <v>1</v>
      </c>
      <c r="GE64" s="2"/>
      <c r="GF64" s="2">
        <v>-961482848</v>
      </c>
      <c r="GG64" s="2">
        <v>2</v>
      </c>
      <c r="GH64" s="2">
        <v>1</v>
      </c>
      <c r="GI64" s="2">
        <v>-2</v>
      </c>
      <c r="GJ64" s="2">
        <v>0</v>
      </c>
      <c r="GK64" s="2">
        <v>0</v>
      </c>
      <c r="GL64" s="2">
        <f t="shared" si="91"/>
        <v>0</v>
      </c>
      <c r="GM64" s="2">
        <f t="shared" si="92"/>
        <v>292.55</v>
      </c>
      <c r="GN64" s="2">
        <f t="shared" si="93"/>
        <v>292.55</v>
      </c>
      <c r="GO64" s="2">
        <f t="shared" si="94"/>
        <v>0</v>
      </c>
      <c r="GP64" s="2">
        <f t="shared" si="95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6"/>
        <v>0</v>
      </c>
      <c r="GW64" s="2">
        <v>1</v>
      </c>
      <c r="GX64" s="2">
        <f t="shared" si="97"/>
        <v>0</v>
      </c>
      <c r="GY64" s="2"/>
      <c r="GZ64" s="2"/>
      <c r="HA64" s="2">
        <v>0</v>
      </c>
      <c r="HB64" s="2">
        <v>0</v>
      </c>
      <c r="HC64" s="2">
        <f t="shared" si="98"/>
        <v>0</v>
      </c>
      <c r="HD64" s="2"/>
      <c r="HE64" s="2" t="s">
        <v>3</v>
      </c>
      <c r="HF64" s="2" t="s">
        <v>3</v>
      </c>
      <c r="HG64" s="2"/>
      <c r="HH64" s="2"/>
      <c r="HI64" s="2"/>
      <c r="HJ64" s="2"/>
      <c r="HK64" s="2"/>
      <c r="HL64" s="2"/>
      <c r="HM64" s="2" t="s">
        <v>3</v>
      </c>
      <c r="HN64" s="2" t="s">
        <v>35</v>
      </c>
      <c r="HO64" s="2" t="s">
        <v>36</v>
      </c>
      <c r="HP64" s="2" t="s">
        <v>32</v>
      </c>
      <c r="HQ64" s="2" t="s">
        <v>32</v>
      </c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45" ht="12.75">
      <c r="A65">
        <v>17</v>
      </c>
      <c r="B65">
        <v>1</v>
      </c>
      <c r="C65">
        <f>ROW(SmtRes!A116)</f>
        <v>116</v>
      </c>
      <c r="D65">
        <f>ROW(EtalonRes!A126)</f>
        <v>126</v>
      </c>
      <c r="E65" t="s">
        <v>115</v>
      </c>
      <c r="F65" t="s">
        <v>39</v>
      </c>
      <c r="G65" t="s">
        <v>116</v>
      </c>
      <c r="H65" t="s">
        <v>41</v>
      </c>
      <c r="I65">
        <v>0.24</v>
      </c>
      <c r="J65">
        <v>0</v>
      </c>
      <c r="K65">
        <v>0.24</v>
      </c>
      <c r="O65">
        <f t="shared" si="63"/>
        <v>3670.6</v>
      </c>
      <c r="P65">
        <f t="shared" si="64"/>
        <v>171.51</v>
      </c>
      <c r="Q65">
        <f t="shared" si="65"/>
        <v>1857.59</v>
      </c>
      <c r="R65">
        <f t="shared" si="66"/>
        <v>479.89</v>
      </c>
      <c r="S65">
        <f t="shared" si="67"/>
        <v>1641.5</v>
      </c>
      <c r="T65">
        <f t="shared" si="68"/>
        <v>0</v>
      </c>
      <c r="U65">
        <f t="shared" si="69"/>
        <v>4.305599999999999</v>
      </c>
      <c r="V65">
        <f t="shared" si="70"/>
        <v>0.8639999999999999</v>
      </c>
      <c r="W65">
        <f t="shared" si="71"/>
        <v>0</v>
      </c>
      <c r="X65">
        <f t="shared" si="72"/>
        <v>1972.89</v>
      </c>
      <c r="Y65">
        <f t="shared" si="73"/>
        <v>1117.97</v>
      </c>
      <c r="AA65">
        <v>55657272</v>
      </c>
      <c r="AB65">
        <f t="shared" si="74"/>
        <v>874.1</v>
      </c>
      <c r="AC65">
        <f t="shared" si="75"/>
        <v>106.34</v>
      </c>
      <c r="AD65">
        <f>ROUND(((((ET65*ROUND(1.25,7)))-((EU65*ROUND(1.25,7))))+AE65),2)</f>
        <v>584.59</v>
      </c>
      <c r="AE65">
        <f>ROUND(((EU65*ROUND(1.25,7))),2)</f>
        <v>53.55</v>
      </c>
      <c r="AF65">
        <f>ROUND(((EV65*ROUND(1.15,7))),2)</f>
        <v>183.17</v>
      </c>
      <c r="AG65">
        <f t="shared" si="77"/>
        <v>0</v>
      </c>
      <c r="AH65">
        <f>((EW65*ROUND(1.15,7)))</f>
        <v>17.939999999999998</v>
      </c>
      <c r="AI65">
        <f>((EX65*ROUND(1.25,7)))</f>
        <v>3.5999999999999996</v>
      </c>
      <c r="AJ65">
        <f t="shared" si="79"/>
        <v>0</v>
      </c>
      <c r="AK65">
        <v>733.29</v>
      </c>
      <c r="AL65">
        <v>106.34</v>
      </c>
      <c r="AM65">
        <v>467.67</v>
      </c>
      <c r="AN65">
        <v>42.84</v>
      </c>
      <c r="AO65">
        <v>159.28</v>
      </c>
      <c r="AP65">
        <v>0</v>
      </c>
      <c r="AQ65">
        <v>15.6</v>
      </c>
      <c r="AR65">
        <v>2.88</v>
      </c>
      <c r="AS65">
        <v>0</v>
      </c>
      <c r="AT65">
        <v>93</v>
      </c>
      <c r="AU65">
        <v>52.7</v>
      </c>
      <c r="AV65">
        <v>1</v>
      </c>
      <c r="AW65">
        <v>1</v>
      </c>
      <c r="AZ65">
        <v>1</v>
      </c>
      <c r="BA65">
        <v>37.34</v>
      </c>
      <c r="BB65">
        <v>13.24</v>
      </c>
      <c r="BC65">
        <v>6.72</v>
      </c>
      <c r="BH65">
        <v>0</v>
      </c>
      <c r="BI65">
        <v>1</v>
      </c>
      <c r="BJ65" t="s">
        <v>42</v>
      </c>
      <c r="BM65">
        <v>9001</v>
      </c>
      <c r="BN65">
        <v>0</v>
      </c>
      <c r="BO65" t="s">
        <v>37</v>
      </c>
      <c r="BP65">
        <v>1</v>
      </c>
      <c r="BQ65">
        <v>2</v>
      </c>
      <c r="BR65">
        <v>0</v>
      </c>
      <c r="BS65">
        <v>37.34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93</v>
      </c>
      <c r="CA65">
        <v>62</v>
      </c>
      <c r="CE65">
        <v>0</v>
      </c>
      <c r="CF65">
        <v>0</v>
      </c>
      <c r="CG65">
        <v>0</v>
      </c>
      <c r="CM65">
        <v>0</v>
      </c>
      <c r="CN65" t="s">
        <v>475</v>
      </c>
      <c r="CO65">
        <v>0</v>
      </c>
      <c r="CP65">
        <f t="shared" si="80"/>
        <v>3670.6</v>
      </c>
      <c r="CQ65">
        <f t="shared" si="81"/>
        <v>714.6048</v>
      </c>
      <c r="CR65">
        <f>((((ET65*ROUND(1.25,7)))*BB65-((EU65*ROUND(1.25,7)))*BS65)+AE65*BS65)</f>
        <v>7739.938499999999</v>
      </c>
      <c r="CS65">
        <f t="shared" si="82"/>
        <v>1999.557</v>
      </c>
      <c r="CT65">
        <f t="shared" si="83"/>
        <v>6839.5678</v>
      </c>
      <c r="CU65">
        <f t="shared" si="84"/>
        <v>0</v>
      </c>
      <c r="CV65">
        <f t="shared" si="85"/>
        <v>17.939999999999998</v>
      </c>
      <c r="CW65">
        <f t="shared" si="86"/>
        <v>3.5999999999999996</v>
      </c>
      <c r="CX65">
        <f t="shared" si="87"/>
        <v>0</v>
      </c>
      <c r="CY65">
        <f t="shared" si="88"/>
        <v>1972.8926999999999</v>
      </c>
      <c r="CZ65">
        <f t="shared" si="89"/>
        <v>1117.97253</v>
      </c>
      <c r="DE65" t="s">
        <v>117</v>
      </c>
      <c r="DF65" t="s">
        <v>117</v>
      </c>
      <c r="DG65" t="s">
        <v>118</v>
      </c>
      <c r="DI65" t="s">
        <v>118</v>
      </c>
      <c r="DJ65" t="s">
        <v>117</v>
      </c>
      <c r="DM65" t="s">
        <v>119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41</v>
      </c>
      <c r="DW65" t="s">
        <v>41</v>
      </c>
      <c r="DX65">
        <v>1000</v>
      </c>
      <c r="EE65">
        <v>55471659</v>
      </c>
      <c r="EF65">
        <v>2</v>
      </c>
      <c r="EG65" t="s">
        <v>31</v>
      </c>
      <c r="EH65">
        <v>9</v>
      </c>
      <c r="EI65" t="s">
        <v>32</v>
      </c>
      <c r="EJ65">
        <v>1</v>
      </c>
      <c r="EK65">
        <v>9001</v>
      </c>
      <c r="EL65" t="s">
        <v>32</v>
      </c>
      <c r="EM65" t="s">
        <v>33</v>
      </c>
      <c r="EO65" t="s">
        <v>120</v>
      </c>
      <c r="EQ65">
        <v>0</v>
      </c>
      <c r="ER65">
        <v>733.29</v>
      </c>
      <c r="ES65">
        <v>106.34</v>
      </c>
      <c r="ET65">
        <v>467.67</v>
      </c>
      <c r="EU65">
        <v>42.84</v>
      </c>
      <c r="EV65">
        <v>159.28</v>
      </c>
      <c r="EW65">
        <v>15.6</v>
      </c>
      <c r="EX65">
        <v>2.88</v>
      </c>
      <c r="EY65">
        <v>0</v>
      </c>
      <c r="FQ65">
        <v>0</v>
      </c>
      <c r="FR65">
        <f t="shared" si="90"/>
        <v>0</v>
      </c>
      <c r="FS65">
        <v>0</v>
      </c>
      <c r="FX65">
        <v>93</v>
      </c>
      <c r="FY65">
        <v>52.7</v>
      </c>
      <c r="GD65">
        <v>1</v>
      </c>
      <c r="GF65">
        <v>-961482848</v>
      </c>
      <c r="GG65">
        <v>2</v>
      </c>
      <c r="GH65">
        <v>1</v>
      </c>
      <c r="GI65">
        <v>4</v>
      </c>
      <c r="GJ65">
        <v>0</v>
      </c>
      <c r="GK65">
        <v>0</v>
      </c>
      <c r="GL65">
        <f t="shared" si="91"/>
        <v>0</v>
      </c>
      <c r="GM65">
        <f t="shared" si="92"/>
        <v>6761.46</v>
      </c>
      <c r="GN65">
        <f t="shared" si="93"/>
        <v>6761.46</v>
      </c>
      <c r="GO65">
        <f t="shared" si="94"/>
        <v>0</v>
      </c>
      <c r="GP65">
        <f t="shared" si="95"/>
        <v>0</v>
      </c>
      <c r="GR65">
        <v>0</v>
      </c>
      <c r="GS65">
        <v>3</v>
      </c>
      <c r="GT65">
        <v>0</v>
      </c>
      <c r="GV65">
        <f t="shared" si="96"/>
        <v>0</v>
      </c>
      <c r="GW65">
        <v>1</v>
      </c>
      <c r="GX65">
        <f t="shared" si="97"/>
        <v>0</v>
      </c>
      <c r="HA65">
        <v>0</v>
      </c>
      <c r="HB65">
        <v>0</v>
      </c>
      <c r="HC65">
        <f t="shared" si="98"/>
        <v>0</v>
      </c>
      <c r="HN65" t="s">
        <v>35</v>
      </c>
      <c r="HO65" t="s">
        <v>36</v>
      </c>
      <c r="HP65" t="s">
        <v>32</v>
      </c>
      <c r="HQ65" t="s">
        <v>32</v>
      </c>
      <c r="IK65">
        <v>0</v>
      </c>
    </row>
    <row r="66" spans="1:255" ht="12.75">
      <c r="A66" s="2">
        <v>18</v>
      </c>
      <c r="B66" s="2">
        <v>1</v>
      </c>
      <c r="C66" s="2">
        <v>87</v>
      </c>
      <c r="D66" s="2"/>
      <c r="E66" s="2" t="s">
        <v>121</v>
      </c>
      <c r="F66" s="2" t="s">
        <v>122</v>
      </c>
      <c r="G66" s="2" t="s">
        <v>123</v>
      </c>
      <c r="H66" s="2" t="s">
        <v>41</v>
      </c>
      <c r="I66" s="2">
        <f>I64*J66</f>
        <v>0.24</v>
      </c>
      <c r="J66" s="2">
        <v>1</v>
      </c>
      <c r="K66" s="2">
        <v>1</v>
      </c>
      <c r="L66" s="2"/>
      <c r="M66" s="2"/>
      <c r="N66" s="2"/>
      <c r="O66" s="2">
        <f t="shared" si="63"/>
        <v>2237.57</v>
      </c>
      <c r="P66" s="2">
        <f t="shared" si="64"/>
        <v>2237.57</v>
      </c>
      <c r="Q66" s="2">
        <f t="shared" si="65"/>
        <v>0</v>
      </c>
      <c r="R66" s="2">
        <f t="shared" si="66"/>
        <v>0</v>
      </c>
      <c r="S66" s="2">
        <f t="shared" si="67"/>
        <v>0</v>
      </c>
      <c r="T66" s="2">
        <f t="shared" si="68"/>
        <v>0</v>
      </c>
      <c r="U66" s="2">
        <f t="shared" si="69"/>
        <v>0</v>
      </c>
      <c r="V66" s="2">
        <f t="shared" si="70"/>
        <v>0</v>
      </c>
      <c r="W66" s="2">
        <f t="shared" si="71"/>
        <v>0</v>
      </c>
      <c r="X66" s="2">
        <f t="shared" si="72"/>
        <v>0</v>
      </c>
      <c r="Y66" s="2">
        <f t="shared" si="73"/>
        <v>0</v>
      </c>
      <c r="Z66" s="2"/>
      <c r="AA66" s="2">
        <v>55656218</v>
      </c>
      <c r="AB66" s="2">
        <f t="shared" si="74"/>
        <v>9323.19</v>
      </c>
      <c r="AC66" s="2">
        <f t="shared" si="75"/>
        <v>9323.19</v>
      </c>
      <c r="AD66" s="2">
        <f aca="true" t="shared" si="99" ref="AD66:AD71">ROUND((((ET66)-(EU66))+AE66),2)</f>
        <v>0</v>
      </c>
      <c r="AE66" s="2">
        <f aca="true" t="shared" si="100" ref="AE66:AF71">ROUND((EU66),2)</f>
        <v>0</v>
      </c>
      <c r="AF66" s="2">
        <f t="shared" si="100"/>
        <v>0</v>
      </c>
      <c r="AG66" s="2">
        <f t="shared" si="77"/>
        <v>0</v>
      </c>
      <c r="AH66" s="2">
        <f aca="true" t="shared" si="101" ref="AH66:AI71">(EW66)</f>
        <v>0</v>
      </c>
      <c r="AI66" s="2">
        <f t="shared" si="101"/>
        <v>0</v>
      </c>
      <c r="AJ66" s="2">
        <f t="shared" si="79"/>
        <v>0</v>
      </c>
      <c r="AK66" s="2">
        <v>9323.19</v>
      </c>
      <c r="AL66" s="2">
        <v>9323.19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93</v>
      </c>
      <c r="AU66" s="2">
        <v>62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124</v>
      </c>
      <c r="BK66" s="2"/>
      <c r="BL66" s="2"/>
      <c r="BM66" s="2">
        <v>9001</v>
      </c>
      <c r="BN66" s="2">
        <v>0</v>
      </c>
      <c r="BO66" s="2" t="s">
        <v>3</v>
      </c>
      <c r="BP66" s="2">
        <v>0</v>
      </c>
      <c r="BQ66" s="2">
        <v>2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93</v>
      </c>
      <c r="CA66" s="2">
        <v>62</v>
      </c>
      <c r="CB66" s="2" t="s">
        <v>3</v>
      </c>
      <c r="CC66" s="2"/>
      <c r="CD66" s="2"/>
      <c r="CE66" s="2">
        <v>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80"/>
        <v>2237.57</v>
      </c>
      <c r="CQ66" s="2">
        <f t="shared" si="81"/>
        <v>9323.19</v>
      </c>
      <c r="CR66" s="2">
        <f aca="true" t="shared" si="102" ref="CR66:CR71">(((ET66)*BB66-(EU66)*BS66)+AE66*BS66)</f>
        <v>0</v>
      </c>
      <c r="CS66" s="2">
        <f t="shared" si="82"/>
        <v>0</v>
      </c>
      <c r="CT66" s="2">
        <f t="shared" si="83"/>
        <v>0</v>
      </c>
      <c r="CU66" s="2">
        <f t="shared" si="84"/>
        <v>0</v>
      </c>
      <c r="CV66" s="2">
        <f t="shared" si="85"/>
        <v>0</v>
      </c>
      <c r="CW66" s="2">
        <f t="shared" si="86"/>
        <v>0</v>
      </c>
      <c r="CX66" s="2">
        <f t="shared" si="87"/>
        <v>0</v>
      </c>
      <c r="CY66" s="2">
        <f t="shared" si="88"/>
        <v>0</v>
      </c>
      <c r="CZ66" s="2">
        <f t="shared" si="89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41</v>
      </c>
      <c r="DW66" s="2" t="s">
        <v>41</v>
      </c>
      <c r="DX66" s="2">
        <v>1000</v>
      </c>
      <c r="DY66" s="2"/>
      <c r="DZ66" s="2" t="s">
        <v>3</v>
      </c>
      <c r="EA66" s="2" t="s">
        <v>3</v>
      </c>
      <c r="EB66" s="2" t="s">
        <v>3</v>
      </c>
      <c r="EC66" s="2" t="s">
        <v>3</v>
      </c>
      <c r="ED66" s="2"/>
      <c r="EE66" s="2">
        <v>55471659</v>
      </c>
      <c r="EF66" s="2">
        <v>2</v>
      </c>
      <c r="EG66" s="2" t="s">
        <v>31</v>
      </c>
      <c r="EH66" s="2">
        <v>9</v>
      </c>
      <c r="EI66" s="2" t="s">
        <v>32</v>
      </c>
      <c r="EJ66" s="2">
        <v>1</v>
      </c>
      <c r="EK66" s="2">
        <v>9001</v>
      </c>
      <c r="EL66" s="2" t="s">
        <v>32</v>
      </c>
      <c r="EM66" s="2" t="s">
        <v>33</v>
      </c>
      <c r="EN66" s="2"/>
      <c r="EO66" s="2" t="s">
        <v>3</v>
      </c>
      <c r="EP66" s="2"/>
      <c r="EQ66" s="2">
        <v>0</v>
      </c>
      <c r="ER66" s="2">
        <v>9323.19</v>
      </c>
      <c r="ES66" s="2">
        <v>9323.19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90"/>
        <v>0</v>
      </c>
      <c r="FS66" s="2">
        <v>0</v>
      </c>
      <c r="FT66" s="2"/>
      <c r="FU66" s="2"/>
      <c r="FV66" s="2"/>
      <c r="FW66" s="2"/>
      <c r="FX66" s="2">
        <v>93</v>
      </c>
      <c r="FY66" s="2">
        <v>62</v>
      </c>
      <c r="FZ66" s="2"/>
      <c r="GA66" s="2" t="s">
        <v>3</v>
      </c>
      <c r="GB66" s="2"/>
      <c r="GC66" s="2"/>
      <c r="GD66" s="2">
        <v>1</v>
      </c>
      <c r="GE66" s="2"/>
      <c r="GF66" s="2">
        <v>1291136343</v>
      </c>
      <c r="GG66" s="2">
        <v>2</v>
      </c>
      <c r="GH66" s="2">
        <v>1</v>
      </c>
      <c r="GI66" s="2">
        <v>-2</v>
      </c>
      <c r="GJ66" s="2">
        <v>0</v>
      </c>
      <c r="GK66" s="2">
        <v>0</v>
      </c>
      <c r="GL66" s="2">
        <f t="shared" si="91"/>
        <v>0</v>
      </c>
      <c r="GM66" s="2">
        <f t="shared" si="92"/>
        <v>2237.57</v>
      </c>
      <c r="GN66" s="2">
        <f t="shared" si="93"/>
        <v>2237.57</v>
      </c>
      <c r="GO66" s="2">
        <f t="shared" si="94"/>
        <v>0</v>
      </c>
      <c r="GP66" s="2">
        <f t="shared" si="95"/>
        <v>0</v>
      </c>
      <c r="GQ66" s="2"/>
      <c r="GR66" s="2">
        <v>0</v>
      </c>
      <c r="GS66" s="2">
        <v>3</v>
      </c>
      <c r="GT66" s="2">
        <v>0</v>
      </c>
      <c r="GU66" s="2" t="s">
        <v>3</v>
      </c>
      <c r="GV66" s="2">
        <f t="shared" si="96"/>
        <v>0</v>
      </c>
      <c r="GW66" s="2">
        <v>1</v>
      </c>
      <c r="GX66" s="2">
        <f t="shared" si="97"/>
        <v>0</v>
      </c>
      <c r="GY66" s="2"/>
      <c r="GZ66" s="2"/>
      <c r="HA66" s="2">
        <v>0</v>
      </c>
      <c r="HB66" s="2">
        <v>0</v>
      </c>
      <c r="HC66" s="2">
        <f t="shared" si="98"/>
        <v>0</v>
      </c>
      <c r="HD66" s="2"/>
      <c r="HE66" s="2" t="s">
        <v>3</v>
      </c>
      <c r="HF66" s="2" t="s">
        <v>3</v>
      </c>
      <c r="HG66" s="2"/>
      <c r="HH66" s="2"/>
      <c r="HI66" s="2"/>
      <c r="HJ66" s="2"/>
      <c r="HK66" s="2"/>
      <c r="HL66" s="2"/>
      <c r="HM66" s="2" t="s">
        <v>3</v>
      </c>
      <c r="HN66" s="2" t="s">
        <v>35</v>
      </c>
      <c r="HO66" s="2" t="s">
        <v>36</v>
      </c>
      <c r="HP66" s="2" t="s">
        <v>32</v>
      </c>
      <c r="HQ66" s="2" t="s">
        <v>32</v>
      </c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45" ht="12.75">
      <c r="A67">
        <v>18</v>
      </c>
      <c r="B67">
        <v>1</v>
      </c>
      <c r="C67">
        <v>109</v>
      </c>
      <c r="E67" t="s">
        <v>121</v>
      </c>
      <c r="F67" t="s">
        <v>122</v>
      </c>
      <c r="G67" t="s">
        <v>123</v>
      </c>
      <c r="H67" t="s">
        <v>41</v>
      </c>
      <c r="I67">
        <f>I65*J67</f>
        <v>0.24</v>
      </c>
      <c r="J67">
        <v>1</v>
      </c>
      <c r="K67">
        <v>1</v>
      </c>
      <c r="O67">
        <f t="shared" si="63"/>
        <v>15036.44</v>
      </c>
      <c r="P67">
        <f t="shared" si="64"/>
        <v>15036.44</v>
      </c>
      <c r="Q67">
        <f t="shared" si="65"/>
        <v>0</v>
      </c>
      <c r="R67">
        <f t="shared" si="66"/>
        <v>0</v>
      </c>
      <c r="S67">
        <f t="shared" si="67"/>
        <v>0</v>
      </c>
      <c r="T67">
        <f t="shared" si="68"/>
        <v>0</v>
      </c>
      <c r="U67">
        <f t="shared" si="69"/>
        <v>0</v>
      </c>
      <c r="V67">
        <f t="shared" si="70"/>
        <v>0</v>
      </c>
      <c r="W67">
        <f t="shared" si="71"/>
        <v>0</v>
      </c>
      <c r="X67">
        <f t="shared" si="72"/>
        <v>0</v>
      </c>
      <c r="Y67">
        <f t="shared" si="73"/>
        <v>0</v>
      </c>
      <c r="AA67">
        <v>55657272</v>
      </c>
      <c r="AB67">
        <f t="shared" si="74"/>
        <v>9323.19</v>
      </c>
      <c r="AC67">
        <f t="shared" si="75"/>
        <v>9323.19</v>
      </c>
      <c r="AD67">
        <f t="shared" si="99"/>
        <v>0</v>
      </c>
      <c r="AE67">
        <f t="shared" si="100"/>
        <v>0</v>
      </c>
      <c r="AF67">
        <f t="shared" si="100"/>
        <v>0</v>
      </c>
      <c r="AG67">
        <f t="shared" si="77"/>
        <v>0</v>
      </c>
      <c r="AH67">
        <f t="shared" si="101"/>
        <v>0</v>
      </c>
      <c r="AI67">
        <f t="shared" si="101"/>
        <v>0</v>
      </c>
      <c r="AJ67">
        <f t="shared" si="79"/>
        <v>0</v>
      </c>
      <c r="AK67">
        <v>9323.19</v>
      </c>
      <c r="AL67">
        <v>9323.19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93</v>
      </c>
      <c r="AU67">
        <v>62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6.72</v>
      </c>
      <c r="BH67">
        <v>3</v>
      </c>
      <c r="BI67">
        <v>1</v>
      </c>
      <c r="BJ67" t="s">
        <v>124</v>
      </c>
      <c r="BM67">
        <v>9001</v>
      </c>
      <c r="BN67">
        <v>0</v>
      </c>
      <c r="BO67" t="s">
        <v>37</v>
      </c>
      <c r="BP67">
        <v>1</v>
      </c>
      <c r="BQ67">
        <v>2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93</v>
      </c>
      <c r="CA67">
        <v>62</v>
      </c>
      <c r="CE67">
        <v>0</v>
      </c>
      <c r="CF67">
        <v>0</v>
      </c>
      <c r="CG67">
        <v>0</v>
      </c>
      <c r="CM67">
        <v>0</v>
      </c>
      <c r="CO67">
        <v>0</v>
      </c>
      <c r="CP67">
        <f t="shared" si="80"/>
        <v>15036.44</v>
      </c>
      <c r="CQ67">
        <f t="shared" si="81"/>
        <v>62651.836800000005</v>
      </c>
      <c r="CR67">
        <f t="shared" si="102"/>
        <v>0</v>
      </c>
      <c r="CS67">
        <f t="shared" si="82"/>
        <v>0</v>
      </c>
      <c r="CT67">
        <f t="shared" si="83"/>
        <v>0</v>
      </c>
      <c r="CU67">
        <f t="shared" si="84"/>
        <v>0</v>
      </c>
      <c r="CV67">
        <f t="shared" si="85"/>
        <v>0</v>
      </c>
      <c r="CW67">
        <f t="shared" si="86"/>
        <v>0</v>
      </c>
      <c r="CX67">
        <f t="shared" si="87"/>
        <v>0</v>
      </c>
      <c r="CY67">
        <f t="shared" si="88"/>
        <v>0</v>
      </c>
      <c r="CZ67">
        <f t="shared" si="89"/>
        <v>0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41</v>
      </c>
      <c r="DW67" t="s">
        <v>41</v>
      </c>
      <c r="DX67">
        <v>1000</v>
      </c>
      <c r="EE67">
        <v>55471659</v>
      </c>
      <c r="EF67">
        <v>2</v>
      </c>
      <c r="EG67" t="s">
        <v>31</v>
      </c>
      <c r="EH67">
        <v>9</v>
      </c>
      <c r="EI67" t="s">
        <v>32</v>
      </c>
      <c r="EJ67">
        <v>1</v>
      </c>
      <c r="EK67">
        <v>9001</v>
      </c>
      <c r="EL67" t="s">
        <v>32</v>
      </c>
      <c r="EM67" t="s">
        <v>33</v>
      </c>
      <c r="EQ67">
        <v>0</v>
      </c>
      <c r="ER67">
        <v>9323.19</v>
      </c>
      <c r="ES67">
        <v>9323.19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90"/>
        <v>0</v>
      </c>
      <c r="FS67">
        <v>0</v>
      </c>
      <c r="FX67">
        <v>93</v>
      </c>
      <c r="FY67">
        <v>62</v>
      </c>
      <c r="GD67">
        <v>1</v>
      </c>
      <c r="GF67">
        <v>1291136343</v>
      </c>
      <c r="GG67">
        <v>2</v>
      </c>
      <c r="GH67">
        <v>1</v>
      </c>
      <c r="GI67">
        <v>4</v>
      </c>
      <c r="GJ67">
        <v>0</v>
      </c>
      <c r="GK67">
        <v>0</v>
      </c>
      <c r="GL67">
        <f t="shared" si="91"/>
        <v>0</v>
      </c>
      <c r="GM67">
        <f t="shared" si="92"/>
        <v>15036.44</v>
      </c>
      <c r="GN67">
        <f t="shared" si="93"/>
        <v>15036.44</v>
      </c>
      <c r="GO67">
        <f t="shared" si="94"/>
        <v>0</v>
      </c>
      <c r="GP67">
        <f t="shared" si="95"/>
        <v>0</v>
      </c>
      <c r="GR67">
        <v>0</v>
      </c>
      <c r="GS67">
        <v>3</v>
      </c>
      <c r="GT67">
        <v>0</v>
      </c>
      <c r="GV67">
        <f t="shared" si="96"/>
        <v>0</v>
      </c>
      <c r="GW67">
        <v>1</v>
      </c>
      <c r="GX67">
        <f t="shared" si="97"/>
        <v>0</v>
      </c>
      <c r="HA67">
        <v>0</v>
      </c>
      <c r="HB67">
        <v>0</v>
      </c>
      <c r="HC67">
        <f t="shared" si="98"/>
        <v>0</v>
      </c>
      <c r="HN67" t="s">
        <v>35</v>
      </c>
      <c r="HO67" t="s">
        <v>36</v>
      </c>
      <c r="HP67" t="s">
        <v>32</v>
      </c>
      <c r="HQ67" t="s">
        <v>32</v>
      </c>
      <c r="IK67">
        <v>0</v>
      </c>
    </row>
    <row r="68" spans="1:255" ht="12.75">
      <c r="A68" s="2">
        <v>17</v>
      </c>
      <c r="B68" s="2">
        <v>1</v>
      </c>
      <c r="C68" s="2">
        <f>ROW(SmtRes!A122)</f>
        <v>122</v>
      </c>
      <c r="D68" s="2">
        <f>ROW(EtalonRes!A132)</f>
        <v>132</v>
      </c>
      <c r="E68" s="2" t="s">
        <v>125</v>
      </c>
      <c r="F68" s="2" t="s">
        <v>126</v>
      </c>
      <c r="G68" s="2" t="s">
        <v>127</v>
      </c>
      <c r="H68" s="2" t="s">
        <v>128</v>
      </c>
      <c r="I68" s="2">
        <f>ROUND(24/100,7)</f>
        <v>0.24</v>
      </c>
      <c r="J68" s="2">
        <v>0</v>
      </c>
      <c r="K68" s="2">
        <f>ROUND(24/100,7)</f>
        <v>0.24</v>
      </c>
      <c r="L68" s="2"/>
      <c r="M68" s="2"/>
      <c r="N68" s="2"/>
      <c r="O68" s="2">
        <f t="shared" si="63"/>
        <v>176.51</v>
      </c>
      <c r="P68" s="2">
        <f t="shared" si="64"/>
        <v>0.26</v>
      </c>
      <c r="Q68" s="2">
        <f t="shared" si="65"/>
        <v>136.31</v>
      </c>
      <c r="R68" s="2">
        <f t="shared" si="66"/>
        <v>50.67</v>
      </c>
      <c r="S68" s="2">
        <f t="shared" si="67"/>
        <v>39.94</v>
      </c>
      <c r="T68" s="2">
        <f t="shared" si="68"/>
        <v>0</v>
      </c>
      <c r="U68" s="2">
        <f t="shared" si="69"/>
        <v>4.152</v>
      </c>
      <c r="V68" s="2">
        <f t="shared" si="70"/>
        <v>4.367999999999999</v>
      </c>
      <c r="W68" s="2">
        <f t="shared" si="71"/>
        <v>0</v>
      </c>
      <c r="X68" s="2">
        <f t="shared" si="72"/>
        <v>93.33</v>
      </c>
      <c r="Y68" s="2">
        <f t="shared" si="73"/>
        <v>53.46</v>
      </c>
      <c r="Z68" s="2"/>
      <c r="AA68" s="2">
        <v>55656218</v>
      </c>
      <c r="AB68" s="2">
        <f t="shared" si="74"/>
        <v>735.48</v>
      </c>
      <c r="AC68" s="2">
        <f t="shared" si="75"/>
        <v>1.08</v>
      </c>
      <c r="AD68" s="2">
        <f t="shared" si="99"/>
        <v>567.97</v>
      </c>
      <c r="AE68" s="2">
        <f t="shared" si="100"/>
        <v>211.12</v>
      </c>
      <c r="AF68" s="2">
        <f t="shared" si="100"/>
        <v>166.43</v>
      </c>
      <c r="AG68" s="2">
        <f t="shared" si="77"/>
        <v>0</v>
      </c>
      <c r="AH68" s="2">
        <f t="shared" si="101"/>
        <v>17.3</v>
      </c>
      <c r="AI68" s="2">
        <f t="shared" si="101"/>
        <v>18.2</v>
      </c>
      <c r="AJ68" s="2">
        <f t="shared" si="79"/>
        <v>0</v>
      </c>
      <c r="AK68" s="2">
        <v>735.48</v>
      </c>
      <c r="AL68" s="2">
        <v>1.08</v>
      </c>
      <c r="AM68" s="2">
        <v>567.97</v>
      </c>
      <c r="AN68" s="2">
        <v>211.12</v>
      </c>
      <c r="AO68" s="2">
        <v>166.43</v>
      </c>
      <c r="AP68" s="2">
        <v>0</v>
      </c>
      <c r="AQ68" s="2">
        <v>17.3</v>
      </c>
      <c r="AR68" s="2">
        <v>18.2</v>
      </c>
      <c r="AS68" s="2">
        <v>0</v>
      </c>
      <c r="AT68" s="2">
        <v>103</v>
      </c>
      <c r="AU68" s="2">
        <v>59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129</v>
      </c>
      <c r="BK68" s="2"/>
      <c r="BL68" s="2"/>
      <c r="BM68" s="2">
        <v>46001</v>
      </c>
      <c r="BN68" s="2">
        <v>0</v>
      </c>
      <c r="BO68" s="2" t="s">
        <v>3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103</v>
      </c>
      <c r="CA68" s="2">
        <v>59</v>
      </c>
      <c r="CB68" s="2" t="s">
        <v>3</v>
      </c>
      <c r="CC68" s="2"/>
      <c r="CD68" s="2"/>
      <c r="CE68" s="2">
        <v>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80"/>
        <v>176.51</v>
      </c>
      <c r="CQ68" s="2">
        <f t="shared" si="81"/>
        <v>1.08</v>
      </c>
      <c r="CR68" s="2">
        <f t="shared" si="102"/>
        <v>567.97</v>
      </c>
      <c r="CS68" s="2">
        <f t="shared" si="82"/>
        <v>211.12</v>
      </c>
      <c r="CT68" s="2">
        <f t="shared" si="83"/>
        <v>166.43</v>
      </c>
      <c r="CU68" s="2">
        <f t="shared" si="84"/>
        <v>0</v>
      </c>
      <c r="CV68" s="2">
        <f t="shared" si="85"/>
        <v>17.3</v>
      </c>
      <c r="CW68" s="2">
        <f t="shared" si="86"/>
        <v>18.2</v>
      </c>
      <c r="CX68" s="2">
        <f t="shared" si="87"/>
        <v>0</v>
      </c>
      <c r="CY68" s="2">
        <f t="shared" si="88"/>
        <v>93.3283</v>
      </c>
      <c r="CZ68" s="2">
        <f t="shared" si="89"/>
        <v>53.4599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128</v>
      </c>
      <c r="DW68" s="2" t="s">
        <v>128</v>
      </c>
      <c r="DX68" s="2">
        <v>1</v>
      </c>
      <c r="DY68" s="2"/>
      <c r="DZ68" s="2" t="s">
        <v>3</v>
      </c>
      <c r="EA68" s="2" t="s">
        <v>3</v>
      </c>
      <c r="EB68" s="2" t="s">
        <v>3</v>
      </c>
      <c r="EC68" s="2" t="s">
        <v>3</v>
      </c>
      <c r="ED68" s="2"/>
      <c r="EE68" s="2">
        <v>55471764</v>
      </c>
      <c r="EF68" s="2">
        <v>2</v>
      </c>
      <c r="EG68" s="2" t="s">
        <v>31</v>
      </c>
      <c r="EH68" s="2">
        <v>40</v>
      </c>
      <c r="EI68" s="2" t="s">
        <v>130</v>
      </c>
      <c r="EJ68" s="2">
        <v>1</v>
      </c>
      <c r="EK68" s="2">
        <v>46001</v>
      </c>
      <c r="EL68" s="2" t="s">
        <v>131</v>
      </c>
      <c r="EM68" s="2" t="s">
        <v>132</v>
      </c>
      <c r="EN68" s="2"/>
      <c r="EO68" s="2" t="s">
        <v>3</v>
      </c>
      <c r="EP68" s="2"/>
      <c r="EQ68" s="2">
        <v>0</v>
      </c>
      <c r="ER68" s="2">
        <v>735.48</v>
      </c>
      <c r="ES68" s="2">
        <v>1.08</v>
      </c>
      <c r="ET68" s="2">
        <v>567.97</v>
      </c>
      <c r="EU68" s="2">
        <v>211.12</v>
      </c>
      <c r="EV68" s="2">
        <v>166.43</v>
      </c>
      <c r="EW68" s="2">
        <v>17.3</v>
      </c>
      <c r="EX68" s="2">
        <v>18.2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90"/>
        <v>0</v>
      </c>
      <c r="FS68" s="2">
        <v>0</v>
      </c>
      <c r="FT68" s="2"/>
      <c r="FU68" s="2"/>
      <c r="FV68" s="2"/>
      <c r="FW68" s="2"/>
      <c r="FX68" s="2">
        <v>103</v>
      </c>
      <c r="FY68" s="2">
        <v>59</v>
      </c>
      <c r="FZ68" s="2"/>
      <c r="GA68" s="2" t="s">
        <v>3</v>
      </c>
      <c r="GB68" s="2"/>
      <c r="GC68" s="2"/>
      <c r="GD68" s="2">
        <v>1</v>
      </c>
      <c r="GE68" s="2"/>
      <c r="GF68" s="2">
        <v>292819351</v>
      </c>
      <c r="GG68" s="2">
        <v>2</v>
      </c>
      <c r="GH68" s="2">
        <v>1</v>
      </c>
      <c r="GI68" s="2">
        <v>-2</v>
      </c>
      <c r="GJ68" s="2">
        <v>0</v>
      </c>
      <c r="GK68" s="2">
        <v>0</v>
      </c>
      <c r="GL68" s="2">
        <f t="shared" si="91"/>
        <v>0</v>
      </c>
      <c r="GM68" s="2">
        <f t="shared" si="92"/>
        <v>323.3</v>
      </c>
      <c r="GN68" s="2">
        <f t="shared" si="93"/>
        <v>323.3</v>
      </c>
      <c r="GO68" s="2">
        <f t="shared" si="94"/>
        <v>0</v>
      </c>
      <c r="GP68" s="2">
        <f t="shared" si="95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96"/>
        <v>0</v>
      </c>
      <c r="GW68" s="2">
        <v>1</v>
      </c>
      <c r="GX68" s="2">
        <f t="shared" si="97"/>
        <v>0</v>
      </c>
      <c r="GY68" s="2"/>
      <c r="GZ68" s="2"/>
      <c r="HA68" s="2">
        <v>0</v>
      </c>
      <c r="HB68" s="2">
        <v>0</v>
      </c>
      <c r="HC68" s="2">
        <f t="shared" si="98"/>
        <v>0</v>
      </c>
      <c r="HD68" s="2"/>
      <c r="HE68" s="2" t="s">
        <v>3</v>
      </c>
      <c r="HF68" s="2" t="s">
        <v>3</v>
      </c>
      <c r="HG68" s="2"/>
      <c r="HH68" s="2"/>
      <c r="HI68" s="2"/>
      <c r="HJ68" s="2"/>
      <c r="HK68" s="2"/>
      <c r="HL68" s="2"/>
      <c r="HM68" s="2" t="s">
        <v>3</v>
      </c>
      <c r="HN68" s="2" t="s">
        <v>133</v>
      </c>
      <c r="HO68" s="2" t="s">
        <v>134</v>
      </c>
      <c r="HP68" s="2" t="s">
        <v>131</v>
      </c>
      <c r="HQ68" s="2" t="s">
        <v>131</v>
      </c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45" ht="12.75">
      <c r="A69">
        <v>17</v>
      </c>
      <c r="B69">
        <v>1</v>
      </c>
      <c r="C69">
        <f>ROW(SmtRes!A128)</f>
        <v>128</v>
      </c>
      <c r="D69">
        <f>ROW(EtalonRes!A138)</f>
        <v>138</v>
      </c>
      <c r="E69" t="s">
        <v>125</v>
      </c>
      <c r="F69" t="s">
        <v>126</v>
      </c>
      <c r="G69" t="s">
        <v>127</v>
      </c>
      <c r="H69" t="s">
        <v>128</v>
      </c>
      <c r="I69">
        <f>ROUND(24/100,7)</f>
        <v>0.24</v>
      </c>
      <c r="J69">
        <v>0</v>
      </c>
      <c r="K69">
        <f>ROUND(24/100,7)</f>
        <v>0.24</v>
      </c>
      <c r="O69">
        <f t="shared" si="63"/>
        <v>3298</v>
      </c>
      <c r="P69">
        <f t="shared" si="64"/>
        <v>1.74</v>
      </c>
      <c r="Q69">
        <f t="shared" si="65"/>
        <v>1804.78</v>
      </c>
      <c r="R69">
        <f t="shared" si="66"/>
        <v>1891.97</v>
      </c>
      <c r="S69">
        <f t="shared" si="67"/>
        <v>1491.48</v>
      </c>
      <c r="T69">
        <f t="shared" si="68"/>
        <v>0</v>
      </c>
      <c r="U69">
        <f t="shared" si="69"/>
        <v>4.152</v>
      </c>
      <c r="V69">
        <f t="shared" si="70"/>
        <v>4.367999999999999</v>
      </c>
      <c r="W69">
        <f t="shared" si="71"/>
        <v>0</v>
      </c>
      <c r="X69">
        <f t="shared" si="72"/>
        <v>3484.95</v>
      </c>
      <c r="Y69">
        <f t="shared" si="73"/>
        <v>1996.24</v>
      </c>
      <c r="AA69">
        <v>55657272</v>
      </c>
      <c r="AB69">
        <f t="shared" si="74"/>
        <v>735.48</v>
      </c>
      <c r="AC69">
        <f t="shared" si="75"/>
        <v>1.08</v>
      </c>
      <c r="AD69">
        <f t="shared" si="99"/>
        <v>567.97</v>
      </c>
      <c r="AE69">
        <f t="shared" si="100"/>
        <v>211.12</v>
      </c>
      <c r="AF69">
        <f t="shared" si="100"/>
        <v>166.43</v>
      </c>
      <c r="AG69">
        <f t="shared" si="77"/>
        <v>0</v>
      </c>
      <c r="AH69">
        <f t="shared" si="101"/>
        <v>17.3</v>
      </c>
      <c r="AI69">
        <f t="shared" si="101"/>
        <v>18.2</v>
      </c>
      <c r="AJ69">
        <f t="shared" si="79"/>
        <v>0</v>
      </c>
      <c r="AK69">
        <v>735.48</v>
      </c>
      <c r="AL69">
        <v>1.08</v>
      </c>
      <c r="AM69">
        <v>567.97</v>
      </c>
      <c r="AN69">
        <v>211.12</v>
      </c>
      <c r="AO69">
        <v>166.43</v>
      </c>
      <c r="AP69">
        <v>0</v>
      </c>
      <c r="AQ69">
        <v>17.3</v>
      </c>
      <c r="AR69">
        <v>18.2</v>
      </c>
      <c r="AS69">
        <v>0</v>
      </c>
      <c r="AT69">
        <v>103</v>
      </c>
      <c r="AU69">
        <v>59</v>
      </c>
      <c r="AV69">
        <v>1</v>
      </c>
      <c r="AW69">
        <v>1</v>
      </c>
      <c r="AZ69">
        <v>1</v>
      </c>
      <c r="BA69">
        <v>37.34</v>
      </c>
      <c r="BB69">
        <v>13.24</v>
      </c>
      <c r="BC69">
        <v>6.72</v>
      </c>
      <c r="BH69">
        <v>0</v>
      </c>
      <c r="BI69">
        <v>1</v>
      </c>
      <c r="BJ69" t="s">
        <v>129</v>
      </c>
      <c r="BM69">
        <v>46001</v>
      </c>
      <c r="BN69">
        <v>0</v>
      </c>
      <c r="BO69" t="s">
        <v>37</v>
      </c>
      <c r="BP69">
        <v>1</v>
      </c>
      <c r="BQ69">
        <v>2</v>
      </c>
      <c r="BR69">
        <v>0</v>
      </c>
      <c r="BS69">
        <v>37.34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103</v>
      </c>
      <c r="CA69">
        <v>59</v>
      </c>
      <c r="CE69">
        <v>0</v>
      </c>
      <c r="CF69">
        <v>0</v>
      </c>
      <c r="CG69">
        <v>0</v>
      </c>
      <c r="CM69">
        <v>0</v>
      </c>
      <c r="CO69">
        <v>0</v>
      </c>
      <c r="CP69">
        <f t="shared" si="80"/>
        <v>3298</v>
      </c>
      <c r="CQ69">
        <f t="shared" si="81"/>
        <v>7.2576</v>
      </c>
      <c r="CR69">
        <f t="shared" si="102"/>
        <v>7519.9228</v>
      </c>
      <c r="CS69">
        <f t="shared" si="82"/>
        <v>7883.220800000001</v>
      </c>
      <c r="CT69">
        <f t="shared" si="83"/>
        <v>6214.4962000000005</v>
      </c>
      <c r="CU69">
        <f t="shared" si="84"/>
        <v>0</v>
      </c>
      <c r="CV69">
        <f t="shared" si="85"/>
        <v>17.3</v>
      </c>
      <c r="CW69">
        <f t="shared" si="86"/>
        <v>18.2</v>
      </c>
      <c r="CX69">
        <f t="shared" si="87"/>
        <v>0</v>
      </c>
      <c r="CY69">
        <f t="shared" si="88"/>
        <v>3484.9534999999996</v>
      </c>
      <c r="CZ69">
        <f t="shared" si="89"/>
        <v>1996.2354999999998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128</v>
      </c>
      <c r="DW69" t="s">
        <v>128</v>
      </c>
      <c r="DX69">
        <v>1</v>
      </c>
      <c r="EE69">
        <v>55471764</v>
      </c>
      <c r="EF69">
        <v>2</v>
      </c>
      <c r="EG69" t="s">
        <v>31</v>
      </c>
      <c r="EH69">
        <v>40</v>
      </c>
      <c r="EI69" t="s">
        <v>130</v>
      </c>
      <c r="EJ69">
        <v>1</v>
      </c>
      <c r="EK69">
        <v>46001</v>
      </c>
      <c r="EL69" t="s">
        <v>131</v>
      </c>
      <c r="EM69" t="s">
        <v>132</v>
      </c>
      <c r="EQ69">
        <v>0</v>
      </c>
      <c r="ER69">
        <v>735.48</v>
      </c>
      <c r="ES69">
        <v>1.08</v>
      </c>
      <c r="ET69">
        <v>567.97</v>
      </c>
      <c r="EU69">
        <v>211.12</v>
      </c>
      <c r="EV69">
        <v>166.43</v>
      </c>
      <c r="EW69">
        <v>17.3</v>
      </c>
      <c r="EX69">
        <v>18.2</v>
      </c>
      <c r="EY69">
        <v>0</v>
      </c>
      <c r="FQ69">
        <v>0</v>
      </c>
      <c r="FR69">
        <f t="shared" si="90"/>
        <v>0</v>
      </c>
      <c r="FS69">
        <v>0</v>
      </c>
      <c r="FX69">
        <v>103</v>
      </c>
      <c r="FY69">
        <v>59</v>
      </c>
      <c r="GD69">
        <v>1</v>
      </c>
      <c r="GF69">
        <v>292819351</v>
      </c>
      <c r="GG69">
        <v>2</v>
      </c>
      <c r="GH69">
        <v>1</v>
      </c>
      <c r="GI69">
        <v>4</v>
      </c>
      <c r="GJ69">
        <v>0</v>
      </c>
      <c r="GK69">
        <v>0</v>
      </c>
      <c r="GL69">
        <f t="shared" si="91"/>
        <v>0</v>
      </c>
      <c r="GM69">
        <f t="shared" si="92"/>
        <v>8779.19</v>
      </c>
      <c r="GN69">
        <f t="shared" si="93"/>
        <v>8779.19</v>
      </c>
      <c r="GO69">
        <f t="shared" si="94"/>
        <v>0</v>
      </c>
      <c r="GP69">
        <f t="shared" si="95"/>
        <v>0</v>
      </c>
      <c r="GR69">
        <v>0</v>
      </c>
      <c r="GS69">
        <v>3</v>
      </c>
      <c r="GT69">
        <v>0</v>
      </c>
      <c r="GV69">
        <f t="shared" si="96"/>
        <v>0</v>
      </c>
      <c r="GW69">
        <v>1</v>
      </c>
      <c r="GX69">
        <f t="shared" si="97"/>
        <v>0</v>
      </c>
      <c r="HA69">
        <v>0</v>
      </c>
      <c r="HB69">
        <v>0</v>
      </c>
      <c r="HC69">
        <f t="shared" si="98"/>
        <v>0</v>
      </c>
      <c r="HN69" t="s">
        <v>133</v>
      </c>
      <c r="HO69" t="s">
        <v>134</v>
      </c>
      <c r="HP69" t="s">
        <v>131</v>
      </c>
      <c r="HQ69" t="s">
        <v>131</v>
      </c>
      <c r="IK69">
        <v>0</v>
      </c>
    </row>
    <row r="70" spans="1:255" ht="12.75">
      <c r="A70" s="2">
        <v>18</v>
      </c>
      <c r="B70" s="2">
        <v>1</v>
      </c>
      <c r="C70" s="2">
        <v>122</v>
      </c>
      <c r="D70" s="2"/>
      <c r="E70" s="2" t="s">
        <v>135</v>
      </c>
      <c r="F70" s="2" t="s">
        <v>136</v>
      </c>
      <c r="G70" s="2" t="s">
        <v>137</v>
      </c>
      <c r="H70" s="2" t="s">
        <v>109</v>
      </c>
      <c r="I70" s="2">
        <f>I68*J70</f>
        <v>2</v>
      </c>
      <c r="J70" s="2">
        <v>8.333333333333334</v>
      </c>
      <c r="K70" s="2">
        <v>8.333333</v>
      </c>
      <c r="L70" s="2"/>
      <c r="M70" s="2"/>
      <c r="N70" s="2"/>
      <c r="O70" s="2">
        <f t="shared" si="63"/>
        <v>1678.64</v>
      </c>
      <c r="P70" s="2">
        <f t="shared" si="64"/>
        <v>1678.64</v>
      </c>
      <c r="Q70" s="2">
        <f t="shared" si="65"/>
        <v>0</v>
      </c>
      <c r="R70" s="2">
        <f t="shared" si="66"/>
        <v>0</v>
      </c>
      <c r="S70" s="2">
        <f t="shared" si="67"/>
        <v>0</v>
      </c>
      <c r="T70" s="2">
        <f t="shared" si="68"/>
        <v>0</v>
      </c>
      <c r="U70" s="2">
        <f t="shared" si="69"/>
        <v>0</v>
      </c>
      <c r="V70" s="2">
        <f t="shared" si="70"/>
        <v>0</v>
      </c>
      <c r="W70" s="2">
        <f t="shared" si="71"/>
        <v>0</v>
      </c>
      <c r="X70" s="2">
        <f t="shared" si="72"/>
        <v>0</v>
      </c>
      <c r="Y70" s="2">
        <f t="shared" si="73"/>
        <v>0</v>
      </c>
      <c r="Z70" s="2"/>
      <c r="AA70" s="2">
        <v>55656218</v>
      </c>
      <c r="AB70" s="2">
        <f t="shared" si="74"/>
        <v>839.32</v>
      </c>
      <c r="AC70" s="2">
        <f t="shared" si="75"/>
        <v>839.32</v>
      </c>
      <c r="AD70" s="2">
        <f t="shared" si="99"/>
        <v>0</v>
      </c>
      <c r="AE70" s="2">
        <f t="shared" si="100"/>
        <v>0</v>
      </c>
      <c r="AF70" s="2">
        <f t="shared" si="100"/>
        <v>0</v>
      </c>
      <c r="AG70" s="2">
        <f t="shared" si="77"/>
        <v>0</v>
      </c>
      <c r="AH70" s="2">
        <f t="shared" si="101"/>
        <v>0</v>
      </c>
      <c r="AI70" s="2">
        <f t="shared" si="101"/>
        <v>0</v>
      </c>
      <c r="AJ70" s="2">
        <f t="shared" si="79"/>
        <v>0</v>
      </c>
      <c r="AK70" s="2">
        <v>839.32</v>
      </c>
      <c r="AL70" s="2">
        <v>839.32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103</v>
      </c>
      <c r="AU70" s="2">
        <v>59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138</v>
      </c>
      <c r="BK70" s="2"/>
      <c r="BL70" s="2"/>
      <c r="BM70" s="2">
        <v>46001</v>
      </c>
      <c r="BN70" s="2">
        <v>0</v>
      </c>
      <c r="BO70" s="2" t="s">
        <v>3</v>
      </c>
      <c r="BP70" s="2">
        <v>0</v>
      </c>
      <c r="BQ70" s="2">
        <v>2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103</v>
      </c>
      <c r="CA70" s="2">
        <v>59</v>
      </c>
      <c r="CB70" s="2" t="s">
        <v>3</v>
      </c>
      <c r="CC70" s="2"/>
      <c r="CD70" s="2"/>
      <c r="CE70" s="2">
        <v>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80"/>
        <v>1678.64</v>
      </c>
      <c r="CQ70" s="2">
        <f t="shared" si="81"/>
        <v>839.32</v>
      </c>
      <c r="CR70" s="2">
        <f t="shared" si="102"/>
        <v>0</v>
      </c>
      <c r="CS70" s="2">
        <f t="shared" si="82"/>
        <v>0</v>
      </c>
      <c r="CT70" s="2">
        <f t="shared" si="83"/>
        <v>0</v>
      </c>
      <c r="CU70" s="2">
        <f t="shared" si="84"/>
        <v>0</v>
      </c>
      <c r="CV70" s="2">
        <f t="shared" si="85"/>
        <v>0</v>
      </c>
      <c r="CW70" s="2">
        <f t="shared" si="86"/>
        <v>0</v>
      </c>
      <c r="CX70" s="2">
        <f t="shared" si="87"/>
        <v>0</v>
      </c>
      <c r="CY70" s="2">
        <f t="shared" si="88"/>
        <v>0</v>
      </c>
      <c r="CZ70" s="2">
        <f t="shared" si="89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109</v>
      </c>
      <c r="DW70" s="2" t="s">
        <v>109</v>
      </c>
      <c r="DX70" s="2">
        <v>1</v>
      </c>
      <c r="DY70" s="2"/>
      <c r="DZ70" s="2" t="s">
        <v>3</v>
      </c>
      <c r="EA70" s="2" t="s">
        <v>3</v>
      </c>
      <c r="EB70" s="2" t="s">
        <v>3</v>
      </c>
      <c r="EC70" s="2" t="s">
        <v>3</v>
      </c>
      <c r="ED70" s="2"/>
      <c r="EE70" s="2">
        <v>55471764</v>
      </c>
      <c r="EF70" s="2">
        <v>2</v>
      </c>
      <c r="EG70" s="2" t="s">
        <v>31</v>
      </c>
      <c r="EH70" s="2">
        <v>40</v>
      </c>
      <c r="EI70" s="2" t="s">
        <v>130</v>
      </c>
      <c r="EJ70" s="2">
        <v>1</v>
      </c>
      <c r="EK70" s="2">
        <v>46001</v>
      </c>
      <c r="EL70" s="2" t="s">
        <v>131</v>
      </c>
      <c r="EM70" s="2" t="s">
        <v>132</v>
      </c>
      <c r="EN70" s="2"/>
      <c r="EO70" s="2" t="s">
        <v>3</v>
      </c>
      <c r="EP70" s="2"/>
      <c r="EQ70" s="2">
        <v>0</v>
      </c>
      <c r="ER70" s="2">
        <v>839.32</v>
      </c>
      <c r="ES70" s="2">
        <v>839.32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90"/>
        <v>0</v>
      </c>
      <c r="FS70" s="2">
        <v>0</v>
      </c>
      <c r="FT70" s="2"/>
      <c r="FU70" s="2"/>
      <c r="FV70" s="2"/>
      <c r="FW70" s="2"/>
      <c r="FX70" s="2">
        <v>103</v>
      </c>
      <c r="FY70" s="2">
        <v>59</v>
      </c>
      <c r="FZ70" s="2"/>
      <c r="GA70" s="2" t="s">
        <v>3</v>
      </c>
      <c r="GB70" s="2"/>
      <c r="GC70" s="2"/>
      <c r="GD70" s="2">
        <v>1</v>
      </c>
      <c r="GE70" s="2"/>
      <c r="GF70" s="2">
        <v>1290926497</v>
      </c>
      <c r="GG70" s="2">
        <v>2</v>
      </c>
      <c r="GH70" s="2">
        <v>1</v>
      </c>
      <c r="GI70" s="2">
        <v>-2</v>
      </c>
      <c r="GJ70" s="2">
        <v>0</v>
      </c>
      <c r="GK70" s="2">
        <v>0</v>
      </c>
      <c r="GL70" s="2">
        <f t="shared" si="91"/>
        <v>0</v>
      </c>
      <c r="GM70" s="2">
        <f t="shared" si="92"/>
        <v>1678.64</v>
      </c>
      <c r="GN70" s="2">
        <f t="shared" si="93"/>
        <v>1678.64</v>
      </c>
      <c r="GO70" s="2">
        <f t="shared" si="94"/>
        <v>0</v>
      </c>
      <c r="GP70" s="2">
        <f t="shared" si="95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96"/>
        <v>0</v>
      </c>
      <c r="GW70" s="2">
        <v>1</v>
      </c>
      <c r="GX70" s="2">
        <f t="shared" si="97"/>
        <v>0</v>
      </c>
      <c r="GY70" s="2"/>
      <c r="GZ70" s="2"/>
      <c r="HA70" s="2">
        <v>0</v>
      </c>
      <c r="HB70" s="2">
        <v>0</v>
      </c>
      <c r="HC70" s="2">
        <f t="shared" si="98"/>
        <v>0</v>
      </c>
      <c r="HD70" s="2"/>
      <c r="HE70" s="2" t="s">
        <v>3</v>
      </c>
      <c r="HF70" s="2" t="s">
        <v>3</v>
      </c>
      <c r="HG70" s="2"/>
      <c r="HH70" s="2"/>
      <c r="HI70" s="2"/>
      <c r="HJ70" s="2"/>
      <c r="HK70" s="2"/>
      <c r="HL70" s="2"/>
      <c r="HM70" s="2" t="s">
        <v>3</v>
      </c>
      <c r="HN70" s="2" t="s">
        <v>133</v>
      </c>
      <c r="HO70" s="2" t="s">
        <v>134</v>
      </c>
      <c r="HP70" s="2" t="s">
        <v>131</v>
      </c>
      <c r="HQ70" s="2" t="s">
        <v>131</v>
      </c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45" ht="12.75">
      <c r="A71">
        <v>18</v>
      </c>
      <c r="B71">
        <v>1</v>
      </c>
      <c r="C71">
        <v>128</v>
      </c>
      <c r="E71" t="s">
        <v>135</v>
      </c>
      <c r="F71" t="s">
        <v>136</v>
      </c>
      <c r="G71" t="s">
        <v>137</v>
      </c>
      <c r="H71" t="s">
        <v>109</v>
      </c>
      <c r="I71">
        <f>I69*J71</f>
        <v>2</v>
      </c>
      <c r="J71">
        <v>8.333333333333334</v>
      </c>
      <c r="K71">
        <v>8.333333</v>
      </c>
      <c r="O71">
        <f t="shared" si="63"/>
        <v>11280.46</v>
      </c>
      <c r="P71">
        <f t="shared" si="64"/>
        <v>11280.46</v>
      </c>
      <c r="Q71">
        <f t="shared" si="65"/>
        <v>0</v>
      </c>
      <c r="R71">
        <f t="shared" si="66"/>
        <v>0</v>
      </c>
      <c r="S71">
        <f t="shared" si="67"/>
        <v>0</v>
      </c>
      <c r="T71">
        <f t="shared" si="68"/>
        <v>0</v>
      </c>
      <c r="U71">
        <f t="shared" si="69"/>
        <v>0</v>
      </c>
      <c r="V71">
        <f t="shared" si="70"/>
        <v>0</v>
      </c>
      <c r="W71">
        <f t="shared" si="71"/>
        <v>0</v>
      </c>
      <c r="X71">
        <f t="shared" si="72"/>
        <v>0</v>
      </c>
      <c r="Y71">
        <f t="shared" si="73"/>
        <v>0</v>
      </c>
      <c r="AA71">
        <v>55657272</v>
      </c>
      <c r="AB71">
        <f t="shared" si="74"/>
        <v>839.32</v>
      </c>
      <c r="AC71">
        <f t="shared" si="75"/>
        <v>839.32</v>
      </c>
      <c r="AD71">
        <f t="shared" si="99"/>
        <v>0</v>
      </c>
      <c r="AE71">
        <f t="shared" si="100"/>
        <v>0</v>
      </c>
      <c r="AF71">
        <f t="shared" si="100"/>
        <v>0</v>
      </c>
      <c r="AG71">
        <f t="shared" si="77"/>
        <v>0</v>
      </c>
      <c r="AH71">
        <f t="shared" si="101"/>
        <v>0</v>
      </c>
      <c r="AI71">
        <f t="shared" si="101"/>
        <v>0</v>
      </c>
      <c r="AJ71">
        <f t="shared" si="79"/>
        <v>0</v>
      </c>
      <c r="AK71">
        <v>839.32</v>
      </c>
      <c r="AL71">
        <v>839.32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103</v>
      </c>
      <c r="AU71">
        <v>59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6.72</v>
      </c>
      <c r="BH71">
        <v>3</v>
      </c>
      <c r="BI71">
        <v>1</v>
      </c>
      <c r="BJ71" t="s">
        <v>138</v>
      </c>
      <c r="BM71">
        <v>46001</v>
      </c>
      <c r="BN71">
        <v>0</v>
      </c>
      <c r="BO71" t="s">
        <v>37</v>
      </c>
      <c r="BP71">
        <v>1</v>
      </c>
      <c r="BQ71">
        <v>2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103</v>
      </c>
      <c r="CA71">
        <v>59</v>
      </c>
      <c r="CE71">
        <v>0</v>
      </c>
      <c r="CF71">
        <v>0</v>
      </c>
      <c r="CG71">
        <v>0</v>
      </c>
      <c r="CM71">
        <v>0</v>
      </c>
      <c r="CO71">
        <v>0</v>
      </c>
      <c r="CP71">
        <f t="shared" si="80"/>
        <v>11280.46</v>
      </c>
      <c r="CQ71">
        <f t="shared" si="81"/>
        <v>5640.2304</v>
      </c>
      <c r="CR71">
        <f t="shared" si="102"/>
        <v>0</v>
      </c>
      <c r="CS71">
        <f t="shared" si="82"/>
        <v>0</v>
      </c>
      <c r="CT71">
        <f t="shared" si="83"/>
        <v>0</v>
      </c>
      <c r="CU71">
        <f t="shared" si="84"/>
        <v>0</v>
      </c>
      <c r="CV71">
        <f t="shared" si="85"/>
        <v>0</v>
      </c>
      <c r="CW71">
        <f t="shared" si="86"/>
        <v>0</v>
      </c>
      <c r="CX71">
        <f t="shared" si="87"/>
        <v>0</v>
      </c>
      <c r="CY71">
        <f t="shared" si="88"/>
        <v>0</v>
      </c>
      <c r="CZ71">
        <f t="shared" si="89"/>
        <v>0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109</v>
      </c>
      <c r="DW71" t="s">
        <v>109</v>
      </c>
      <c r="DX71">
        <v>1</v>
      </c>
      <c r="EE71">
        <v>55471764</v>
      </c>
      <c r="EF71">
        <v>2</v>
      </c>
      <c r="EG71" t="s">
        <v>31</v>
      </c>
      <c r="EH71">
        <v>40</v>
      </c>
      <c r="EI71" t="s">
        <v>130</v>
      </c>
      <c r="EJ71">
        <v>1</v>
      </c>
      <c r="EK71">
        <v>46001</v>
      </c>
      <c r="EL71" t="s">
        <v>131</v>
      </c>
      <c r="EM71" t="s">
        <v>132</v>
      </c>
      <c r="EQ71">
        <v>0</v>
      </c>
      <c r="ER71">
        <v>839.32</v>
      </c>
      <c r="ES71">
        <v>839.32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90"/>
        <v>0</v>
      </c>
      <c r="FS71">
        <v>0</v>
      </c>
      <c r="FX71">
        <v>103</v>
      </c>
      <c r="FY71">
        <v>59</v>
      </c>
      <c r="GD71">
        <v>1</v>
      </c>
      <c r="GF71">
        <v>1290926497</v>
      </c>
      <c r="GG71">
        <v>2</v>
      </c>
      <c r="GH71">
        <v>1</v>
      </c>
      <c r="GI71">
        <v>4</v>
      </c>
      <c r="GJ71">
        <v>0</v>
      </c>
      <c r="GK71">
        <v>0</v>
      </c>
      <c r="GL71">
        <f t="shared" si="91"/>
        <v>0</v>
      </c>
      <c r="GM71">
        <f t="shared" si="92"/>
        <v>11280.46</v>
      </c>
      <c r="GN71">
        <f t="shared" si="93"/>
        <v>11280.46</v>
      </c>
      <c r="GO71">
        <f t="shared" si="94"/>
        <v>0</v>
      </c>
      <c r="GP71">
        <f t="shared" si="95"/>
        <v>0</v>
      </c>
      <c r="GR71">
        <v>0</v>
      </c>
      <c r="GS71">
        <v>3</v>
      </c>
      <c r="GT71">
        <v>0</v>
      </c>
      <c r="GV71">
        <f t="shared" si="96"/>
        <v>0</v>
      </c>
      <c r="GW71">
        <v>1</v>
      </c>
      <c r="GX71">
        <f t="shared" si="97"/>
        <v>0</v>
      </c>
      <c r="HA71">
        <v>0</v>
      </c>
      <c r="HB71">
        <v>0</v>
      </c>
      <c r="HC71">
        <f t="shared" si="98"/>
        <v>0</v>
      </c>
      <c r="HN71" t="s">
        <v>133</v>
      </c>
      <c r="HO71" t="s">
        <v>134</v>
      </c>
      <c r="HP71" t="s">
        <v>131</v>
      </c>
      <c r="HQ71" t="s">
        <v>131</v>
      </c>
      <c r="IK71">
        <v>0</v>
      </c>
    </row>
    <row r="72" spans="1:255" ht="12.75">
      <c r="A72" s="2">
        <v>17</v>
      </c>
      <c r="B72" s="2">
        <v>1</v>
      </c>
      <c r="C72" s="2">
        <f>ROW(SmtRes!A134)</f>
        <v>134</v>
      </c>
      <c r="D72" s="2">
        <f>ROW(EtalonRes!A144)</f>
        <v>144</v>
      </c>
      <c r="E72" s="2" t="s">
        <v>139</v>
      </c>
      <c r="F72" s="2" t="s">
        <v>99</v>
      </c>
      <c r="G72" s="2" t="s">
        <v>140</v>
      </c>
      <c r="H72" s="2" t="s">
        <v>41</v>
      </c>
      <c r="I72" s="2">
        <v>0.012</v>
      </c>
      <c r="J72" s="2">
        <v>0</v>
      </c>
      <c r="K72" s="2">
        <v>0.012</v>
      </c>
      <c r="L72" s="2"/>
      <c r="M72" s="2"/>
      <c r="N72" s="2"/>
      <c r="O72" s="2">
        <f t="shared" si="63"/>
        <v>157.35</v>
      </c>
      <c r="P72" s="2">
        <f t="shared" si="64"/>
        <v>121.24</v>
      </c>
      <c r="Q72" s="2">
        <f t="shared" si="65"/>
        <v>0.77</v>
      </c>
      <c r="R72" s="2">
        <f t="shared" si="66"/>
        <v>0.11</v>
      </c>
      <c r="S72" s="2">
        <f t="shared" si="67"/>
        <v>35.34</v>
      </c>
      <c r="T72" s="2">
        <f t="shared" si="68"/>
        <v>0</v>
      </c>
      <c r="U72" s="2">
        <f t="shared" si="69"/>
        <v>3.9881999999999995</v>
      </c>
      <c r="V72" s="2">
        <f t="shared" si="70"/>
        <v>0.00885</v>
      </c>
      <c r="W72" s="2">
        <f t="shared" si="71"/>
        <v>0</v>
      </c>
      <c r="X72" s="2">
        <f t="shared" si="72"/>
        <v>36.16</v>
      </c>
      <c r="Y72" s="2">
        <f t="shared" si="73"/>
        <v>17.48</v>
      </c>
      <c r="Z72" s="2"/>
      <c r="AA72" s="2">
        <v>55656218</v>
      </c>
      <c r="AB72" s="2">
        <f t="shared" si="74"/>
        <v>13112.07</v>
      </c>
      <c r="AC72" s="2">
        <f t="shared" si="75"/>
        <v>10103.46</v>
      </c>
      <c r="AD72" s="2">
        <f>ROUND(((((ET72*ROUND(1.25,7)))-((EU72*ROUND(1.25,7))))+AE72),2)</f>
        <v>63.99</v>
      </c>
      <c r="AE72" s="2">
        <f>ROUND(((EU72*ROUND(1.25,7))),2)</f>
        <v>9.15</v>
      </c>
      <c r="AF72" s="2">
        <f>ROUND(((EV72*ROUND(1.15,7))),2)</f>
        <v>2944.62</v>
      </c>
      <c r="AG72" s="2">
        <f t="shared" si="77"/>
        <v>0</v>
      </c>
      <c r="AH72" s="2">
        <f>((EW72*ROUND(1.15,7)))</f>
        <v>332.34999999999997</v>
      </c>
      <c r="AI72" s="2">
        <f>((EX72*ROUND(1.25,7)))</f>
        <v>0.7374999999999999</v>
      </c>
      <c r="AJ72" s="2">
        <f t="shared" si="79"/>
        <v>0</v>
      </c>
      <c r="AK72" s="2">
        <v>12715.19</v>
      </c>
      <c r="AL72" s="2">
        <v>10103.46</v>
      </c>
      <c r="AM72" s="2">
        <v>51.19</v>
      </c>
      <c r="AN72" s="2">
        <v>7.32</v>
      </c>
      <c r="AO72" s="2">
        <v>2560.54</v>
      </c>
      <c r="AP72" s="2">
        <v>0</v>
      </c>
      <c r="AQ72" s="2">
        <v>289</v>
      </c>
      <c r="AR72" s="2">
        <v>0.59</v>
      </c>
      <c r="AS72" s="2">
        <v>0</v>
      </c>
      <c r="AT72" s="2">
        <v>102</v>
      </c>
      <c r="AU72" s="2">
        <v>49.3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101</v>
      </c>
      <c r="BK72" s="2"/>
      <c r="BL72" s="2"/>
      <c r="BM72" s="2">
        <v>6001</v>
      </c>
      <c r="BN72" s="2">
        <v>0</v>
      </c>
      <c r="BO72" s="2" t="s">
        <v>3</v>
      </c>
      <c r="BP72" s="2">
        <v>0</v>
      </c>
      <c r="BQ72" s="2">
        <v>2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102</v>
      </c>
      <c r="CA72" s="2">
        <v>58</v>
      </c>
      <c r="CB72" s="2" t="s">
        <v>3</v>
      </c>
      <c r="CC72" s="2"/>
      <c r="CD72" s="2"/>
      <c r="CE72" s="2">
        <v>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475</v>
      </c>
      <c r="CO72" s="2">
        <v>0</v>
      </c>
      <c r="CP72" s="2">
        <f t="shared" si="80"/>
        <v>157.35</v>
      </c>
      <c r="CQ72" s="2">
        <f t="shared" si="81"/>
        <v>10103.46</v>
      </c>
      <c r="CR72" s="2">
        <f>((((ET72*ROUND(1.25,7)))*BB72-((EU72*ROUND(1.25,7)))*BS72)+AE72*BS72)</f>
        <v>63.9875</v>
      </c>
      <c r="CS72" s="2">
        <f t="shared" si="82"/>
        <v>9.15</v>
      </c>
      <c r="CT72" s="2">
        <f t="shared" si="83"/>
        <v>2944.62</v>
      </c>
      <c r="CU72" s="2">
        <f t="shared" si="84"/>
        <v>0</v>
      </c>
      <c r="CV72" s="2">
        <f t="shared" si="85"/>
        <v>332.34999999999997</v>
      </c>
      <c r="CW72" s="2">
        <f t="shared" si="86"/>
        <v>0.7374999999999999</v>
      </c>
      <c r="CX72" s="2">
        <f t="shared" si="87"/>
        <v>0</v>
      </c>
      <c r="CY72" s="2">
        <f t="shared" si="88"/>
        <v>36.159</v>
      </c>
      <c r="CZ72" s="2">
        <f t="shared" si="89"/>
        <v>17.47685</v>
      </c>
      <c r="DA72" s="2"/>
      <c r="DB72" s="2"/>
      <c r="DC72" s="2" t="s">
        <v>3</v>
      </c>
      <c r="DD72" s="2" t="s">
        <v>3</v>
      </c>
      <c r="DE72" s="2" t="s">
        <v>117</v>
      </c>
      <c r="DF72" s="2" t="s">
        <v>117</v>
      </c>
      <c r="DG72" s="2" t="s">
        <v>118</v>
      </c>
      <c r="DH72" s="2" t="s">
        <v>3</v>
      </c>
      <c r="DI72" s="2" t="s">
        <v>118</v>
      </c>
      <c r="DJ72" s="2" t="s">
        <v>117</v>
      </c>
      <c r="DK72" s="2" t="s">
        <v>3</v>
      </c>
      <c r="DL72" s="2" t="s">
        <v>3</v>
      </c>
      <c r="DM72" s="2" t="s">
        <v>119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41</v>
      </c>
      <c r="DW72" s="2" t="s">
        <v>41</v>
      </c>
      <c r="DX72" s="2">
        <v>1000</v>
      </c>
      <c r="DY72" s="2"/>
      <c r="DZ72" s="2" t="s">
        <v>3</v>
      </c>
      <c r="EA72" s="2" t="s">
        <v>3</v>
      </c>
      <c r="EB72" s="2" t="s">
        <v>3</v>
      </c>
      <c r="EC72" s="2" t="s">
        <v>3</v>
      </c>
      <c r="ED72" s="2"/>
      <c r="EE72" s="2">
        <v>55471642</v>
      </c>
      <c r="EF72" s="2">
        <v>2</v>
      </c>
      <c r="EG72" s="2" t="s">
        <v>31</v>
      </c>
      <c r="EH72" s="2">
        <v>6</v>
      </c>
      <c r="EI72" s="2" t="s">
        <v>102</v>
      </c>
      <c r="EJ72" s="2">
        <v>1</v>
      </c>
      <c r="EK72" s="2">
        <v>6001</v>
      </c>
      <c r="EL72" s="2" t="s">
        <v>102</v>
      </c>
      <c r="EM72" s="2" t="s">
        <v>103</v>
      </c>
      <c r="EN72" s="2"/>
      <c r="EO72" s="2" t="s">
        <v>120</v>
      </c>
      <c r="EP72" s="2"/>
      <c r="EQ72" s="2">
        <v>0</v>
      </c>
      <c r="ER72" s="2">
        <v>12715.19</v>
      </c>
      <c r="ES72" s="2">
        <v>10103.46</v>
      </c>
      <c r="ET72" s="2">
        <v>51.19</v>
      </c>
      <c r="EU72" s="2">
        <v>7.32</v>
      </c>
      <c r="EV72" s="2">
        <v>2560.54</v>
      </c>
      <c r="EW72" s="2">
        <v>289</v>
      </c>
      <c r="EX72" s="2">
        <v>0.59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90"/>
        <v>0</v>
      </c>
      <c r="FS72" s="2">
        <v>0</v>
      </c>
      <c r="FT72" s="2"/>
      <c r="FU72" s="2"/>
      <c r="FV72" s="2"/>
      <c r="FW72" s="2"/>
      <c r="FX72" s="2">
        <v>102</v>
      </c>
      <c r="FY72" s="2">
        <v>49.3</v>
      </c>
      <c r="FZ72" s="2"/>
      <c r="GA72" s="2" t="s">
        <v>3</v>
      </c>
      <c r="GB72" s="2"/>
      <c r="GC72" s="2"/>
      <c r="GD72" s="2">
        <v>1</v>
      </c>
      <c r="GE72" s="2"/>
      <c r="GF72" s="2">
        <v>480676255</v>
      </c>
      <c r="GG72" s="2">
        <v>2</v>
      </c>
      <c r="GH72" s="2">
        <v>1</v>
      </c>
      <c r="GI72" s="2">
        <v>-2</v>
      </c>
      <c r="GJ72" s="2">
        <v>0</v>
      </c>
      <c r="GK72" s="2">
        <v>0</v>
      </c>
      <c r="GL72" s="2">
        <f t="shared" si="91"/>
        <v>0</v>
      </c>
      <c r="GM72" s="2">
        <f t="shared" si="92"/>
        <v>210.99</v>
      </c>
      <c r="GN72" s="2">
        <f t="shared" si="93"/>
        <v>210.99</v>
      </c>
      <c r="GO72" s="2">
        <f t="shared" si="94"/>
        <v>0</v>
      </c>
      <c r="GP72" s="2">
        <f t="shared" si="95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96"/>
        <v>0</v>
      </c>
      <c r="GW72" s="2">
        <v>1</v>
      </c>
      <c r="GX72" s="2">
        <f t="shared" si="97"/>
        <v>0</v>
      </c>
      <c r="GY72" s="2"/>
      <c r="GZ72" s="2"/>
      <c r="HA72" s="2">
        <v>0</v>
      </c>
      <c r="HB72" s="2">
        <v>0</v>
      </c>
      <c r="HC72" s="2">
        <f t="shared" si="98"/>
        <v>0</v>
      </c>
      <c r="HD72" s="2"/>
      <c r="HE72" s="2" t="s">
        <v>3</v>
      </c>
      <c r="HF72" s="2" t="s">
        <v>3</v>
      </c>
      <c r="HG72" s="2"/>
      <c r="HH72" s="2"/>
      <c r="HI72" s="2"/>
      <c r="HJ72" s="2"/>
      <c r="HK72" s="2"/>
      <c r="HL72" s="2"/>
      <c r="HM72" s="2" t="s">
        <v>3</v>
      </c>
      <c r="HN72" s="2" t="s">
        <v>104</v>
      </c>
      <c r="HO72" s="2" t="s">
        <v>105</v>
      </c>
      <c r="HP72" s="2" t="s">
        <v>102</v>
      </c>
      <c r="HQ72" s="2" t="s">
        <v>102</v>
      </c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45" ht="12.75">
      <c r="A73">
        <v>17</v>
      </c>
      <c r="B73">
        <v>1</v>
      </c>
      <c r="C73">
        <f>ROW(SmtRes!A140)</f>
        <v>140</v>
      </c>
      <c r="D73">
        <f>ROW(EtalonRes!A150)</f>
        <v>150</v>
      </c>
      <c r="E73" t="s">
        <v>139</v>
      </c>
      <c r="F73" t="s">
        <v>99</v>
      </c>
      <c r="G73" t="s">
        <v>140</v>
      </c>
      <c r="H73" t="s">
        <v>41</v>
      </c>
      <c r="I73">
        <v>0.012</v>
      </c>
      <c r="J73">
        <v>0</v>
      </c>
      <c r="K73">
        <v>0.012</v>
      </c>
      <c r="O73">
        <f t="shared" si="63"/>
        <v>2144.34</v>
      </c>
      <c r="P73">
        <f t="shared" si="64"/>
        <v>814.74</v>
      </c>
      <c r="Q73">
        <f t="shared" si="65"/>
        <v>10.17</v>
      </c>
      <c r="R73">
        <f t="shared" si="66"/>
        <v>4.1</v>
      </c>
      <c r="S73">
        <f t="shared" si="67"/>
        <v>1319.43</v>
      </c>
      <c r="T73">
        <f t="shared" si="68"/>
        <v>0</v>
      </c>
      <c r="U73">
        <f t="shared" si="69"/>
        <v>3.9881999999999995</v>
      </c>
      <c r="V73">
        <f t="shared" si="70"/>
        <v>0.00885</v>
      </c>
      <c r="W73">
        <f t="shared" si="71"/>
        <v>0</v>
      </c>
      <c r="X73">
        <f t="shared" si="72"/>
        <v>1350</v>
      </c>
      <c r="Y73">
        <f t="shared" si="73"/>
        <v>652.5</v>
      </c>
      <c r="AA73">
        <v>55657272</v>
      </c>
      <c r="AB73">
        <f t="shared" si="74"/>
        <v>13112.07</v>
      </c>
      <c r="AC73">
        <f t="shared" si="75"/>
        <v>10103.46</v>
      </c>
      <c r="AD73">
        <f>ROUND(((((ET73*ROUND(1.25,7)))-((EU73*ROUND(1.25,7))))+AE73),2)</f>
        <v>63.99</v>
      </c>
      <c r="AE73">
        <f>ROUND(((EU73*ROUND(1.25,7))),2)</f>
        <v>9.15</v>
      </c>
      <c r="AF73">
        <f>ROUND(((EV73*ROUND(1.15,7))),2)</f>
        <v>2944.62</v>
      </c>
      <c r="AG73">
        <f t="shared" si="77"/>
        <v>0</v>
      </c>
      <c r="AH73">
        <f>((EW73*ROUND(1.15,7)))</f>
        <v>332.34999999999997</v>
      </c>
      <c r="AI73">
        <f>((EX73*ROUND(1.25,7)))</f>
        <v>0.7374999999999999</v>
      </c>
      <c r="AJ73">
        <f t="shared" si="79"/>
        <v>0</v>
      </c>
      <c r="AK73">
        <v>12715.19</v>
      </c>
      <c r="AL73">
        <v>10103.46</v>
      </c>
      <c r="AM73">
        <v>51.19</v>
      </c>
      <c r="AN73">
        <v>7.32</v>
      </c>
      <c r="AO73">
        <v>2560.54</v>
      </c>
      <c r="AP73">
        <v>0</v>
      </c>
      <c r="AQ73">
        <v>289</v>
      </c>
      <c r="AR73">
        <v>0.59</v>
      </c>
      <c r="AS73">
        <v>0</v>
      </c>
      <c r="AT73">
        <v>102</v>
      </c>
      <c r="AU73">
        <v>49.3</v>
      </c>
      <c r="AV73">
        <v>1</v>
      </c>
      <c r="AW73">
        <v>1</v>
      </c>
      <c r="AZ73">
        <v>1</v>
      </c>
      <c r="BA73">
        <v>37.34</v>
      </c>
      <c r="BB73">
        <v>13.24</v>
      </c>
      <c r="BC73">
        <v>6.72</v>
      </c>
      <c r="BH73">
        <v>0</v>
      </c>
      <c r="BI73">
        <v>1</v>
      </c>
      <c r="BJ73" t="s">
        <v>101</v>
      </c>
      <c r="BM73">
        <v>6001</v>
      </c>
      <c r="BN73">
        <v>0</v>
      </c>
      <c r="BO73" t="s">
        <v>37</v>
      </c>
      <c r="BP73">
        <v>1</v>
      </c>
      <c r="BQ73">
        <v>2</v>
      </c>
      <c r="BR73">
        <v>0</v>
      </c>
      <c r="BS73">
        <v>37.34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102</v>
      </c>
      <c r="CA73">
        <v>58</v>
      </c>
      <c r="CE73">
        <v>0</v>
      </c>
      <c r="CF73">
        <v>0</v>
      </c>
      <c r="CG73">
        <v>0</v>
      </c>
      <c r="CM73">
        <v>0</v>
      </c>
      <c r="CN73" t="s">
        <v>475</v>
      </c>
      <c r="CO73">
        <v>0</v>
      </c>
      <c r="CP73">
        <f t="shared" si="80"/>
        <v>2144.34</v>
      </c>
      <c r="CQ73">
        <f t="shared" si="81"/>
        <v>67895.2512</v>
      </c>
      <c r="CR73">
        <f>((((ET73*ROUND(1.25,7)))*BB73-((EU73*ROUND(1.25,7)))*BS73)+AE73*BS73)</f>
        <v>847.1945</v>
      </c>
      <c r="CS73">
        <f t="shared" si="82"/>
        <v>341.66100000000006</v>
      </c>
      <c r="CT73">
        <f t="shared" si="83"/>
        <v>109952.11080000001</v>
      </c>
      <c r="CU73">
        <f t="shared" si="84"/>
        <v>0</v>
      </c>
      <c r="CV73">
        <f t="shared" si="85"/>
        <v>332.34999999999997</v>
      </c>
      <c r="CW73">
        <f t="shared" si="86"/>
        <v>0.7374999999999999</v>
      </c>
      <c r="CX73">
        <f t="shared" si="87"/>
        <v>0</v>
      </c>
      <c r="CY73">
        <f t="shared" si="88"/>
        <v>1350.0006</v>
      </c>
      <c r="CZ73">
        <f t="shared" si="89"/>
        <v>652.50029</v>
      </c>
      <c r="DE73" t="s">
        <v>117</v>
      </c>
      <c r="DF73" t="s">
        <v>117</v>
      </c>
      <c r="DG73" t="s">
        <v>118</v>
      </c>
      <c r="DI73" t="s">
        <v>118</v>
      </c>
      <c r="DJ73" t="s">
        <v>117</v>
      </c>
      <c r="DM73" t="s">
        <v>119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41</v>
      </c>
      <c r="DW73" t="s">
        <v>41</v>
      </c>
      <c r="DX73">
        <v>1000</v>
      </c>
      <c r="EE73">
        <v>55471642</v>
      </c>
      <c r="EF73">
        <v>2</v>
      </c>
      <c r="EG73" t="s">
        <v>31</v>
      </c>
      <c r="EH73">
        <v>6</v>
      </c>
      <c r="EI73" t="s">
        <v>102</v>
      </c>
      <c r="EJ73">
        <v>1</v>
      </c>
      <c r="EK73">
        <v>6001</v>
      </c>
      <c r="EL73" t="s">
        <v>102</v>
      </c>
      <c r="EM73" t="s">
        <v>103</v>
      </c>
      <c r="EO73" t="s">
        <v>120</v>
      </c>
      <c r="EQ73">
        <v>0</v>
      </c>
      <c r="ER73">
        <v>12715.19</v>
      </c>
      <c r="ES73">
        <v>10103.46</v>
      </c>
      <c r="ET73">
        <v>51.19</v>
      </c>
      <c r="EU73">
        <v>7.32</v>
      </c>
      <c r="EV73">
        <v>2560.54</v>
      </c>
      <c r="EW73">
        <v>289</v>
      </c>
      <c r="EX73">
        <v>0.59</v>
      </c>
      <c r="EY73">
        <v>0</v>
      </c>
      <c r="FQ73">
        <v>0</v>
      </c>
      <c r="FR73">
        <f t="shared" si="90"/>
        <v>0</v>
      </c>
      <c r="FS73">
        <v>0</v>
      </c>
      <c r="FX73">
        <v>102</v>
      </c>
      <c r="FY73">
        <v>49.3</v>
      </c>
      <c r="GD73">
        <v>1</v>
      </c>
      <c r="GF73">
        <v>480676255</v>
      </c>
      <c r="GG73">
        <v>2</v>
      </c>
      <c r="GH73">
        <v>1</v>
      </c>
      <c r="GI73">
        <v>4</v>
      </c>
      <c r="GJ73">
        <v>0</v>
      </c>
      <c r="GK73">
        <v>0</v>
      </c>
      <c r="GL73">
        <f t="shared" si="91"/>
        <v>0</v>
      </c>
      <c r="GM73">
        <f t="shared" si="92"/>
        <v>4146.84</v>
      </c>
      <c r="GN73">
        <f t="shared" si="93"/>
        <v>4146.84</v>
      </c>
      <c r="GO73">
        <f t="shared" si="94"/>
        <v>0</v>
      </c>
      <c r="GP73">
        <f t="shared" si="95"/>
        <v>0</v>
      </c>
      <c r="GR73">
        <v>0</v>
      </c>
      <c r="GS73">
        <v>3</v>
      </c>
      <c r="GT73">
        <v>0</v>
      </c>
      <c r="GV73">
        <f t="shared" si="96"/>
        <v>0</v>
      </c>
      <c r="GW73">
        <v>1</v>
      </c>
      <c r="GX73">
        <f t="shared" si="97"/>
        <v>0</v>
      </c>
      <c r="HA73">
        <v>0</v>
      </c>
      <c r="HB73">
        <v>0</v>
      </c>
      <c r="HC73">
        <f t="shared" si="98"/>
        <v>0</v>
      </c>
      <c r="HN73" t="s">
        <v>104</v>
      </c>
      <c r="HO73" t="s">
        <v>105</v>
      </c>
      <c r="HP73" t="s">
        <v>102</v>
      </c>
      <c r="HQ73" t="s">
        <v>102</v>
      </c>
      <c r="IK73">
        <v>0</v>
      </c>
    </row>
    <row r="74" spans="1:255" ht="12.75">
      <c r="A74" s="2">
        <v>17</v>
      </c>
      <c r="B74" s="2">
        <v>1</v>
      </c>
      <c r="C74" s="2">
        <f>ROW(SmtRes!A151)</f>
        <v>151</v>
      </c>
      <c r="D74" s="2">
        <f>ROW(EtalonRes!A163)</f>
        <v>163</v>
      </c>
      <c r="E74" s="2" t="s">
        <v>141</v>
      </c>
      <c r="F74" s="2" t="s">
        <v>24</v>
      </c>
      <c r="G74" s="2" t="s">
        <v>142</v>
      </c>
      <c r="H74" s="2" t="s">
        <v>26</v>
      </c>
      <c r="I74" s="2">
        <f>ROUND(42/100,7)</f>
        <v>0.42</v>
      </c>
      <c r="J74" s="2">
        <v>0</v>
      </c>
      <c r="K74" s="2">
        <f>ROUND(42/100,7)</f>
        <v>0.42</v>
      </c>
      <c r="L74" s="2"/>
      <c r="M74" s="2"/>
      <c r="N74" s="2"/>
      <c r="O74" s="2">
        <f t="shared" si="63"/>
        <v>1865.83</v>
      </c>
      <c r="P74" s="2">
        <f t="shared" si="64"/>
        <v>115.87</v>
      </c>
      <c r="Q74" s="2">
        <f t="shared" si="65"/>
        <v>301.98</v>
      </c>
      <c r="R74" s="2">
        <f t="shared" si="66"/>
        <v>17.3</v>
      </c>
      <c r="S74" s="2">
        <f t="shared" si="67"/>
        <v>1447.98</v>
      </c>
      <c r="T74" s="2">
        <f t="shared" si="68"/>
        <v>0</v>
      </c>
      <c r="U74" s="2">
        <f t="shared" si="69"/>
        <v>143.934</v>
      </c>
      <c r="V74" s="2">
        <f t="shared" si="70"/>
        <v>1.302</v>
      </c>
      <c r="W74" s="2">
        <f t="shared" si="71"/>
        <v>0</v>
      </c>
      <c r="X74" s="2">
        <f t="shared" si="72"/>
        <v>1362.71</v>
      </c>
      <c r="Y74" s="2">
        <f t="shared" si="73"/>
        <v>772.2</v>
      </c>
      <c r="Z74" s="2"/>
      <c r="AA74" s="2">
        <v>55656218</v>
      </c>
      <c r="AB74" s="2">
        <f t="shared" si="74"/>
        <v>4442.43</v>
      </c>
      <c r="AC74" s="2">
        <f t="shared" si="75"/>
        <v>275.88</v>
      </c>
      <c r="AD74" s="2">
        <f>ROUND(((((ET74*ROUND(1.25,7)))-((EU74*ROUND(1.25,7))))+AE74),2)</f>
        <v>718.99</v>
      </c>
      <c r="AE74" s="2">
        <f>ROUND(((EU74*ROUND(1.25,7))),2)</f>
        <v>41.19</v>
      </c>
      <c r="AF74" s="2">
        <f>ROUND(((EV74*ROUND(1.15,7))),2)</f>
        <v>3447.56</v>
      </c>
      <c r="AG74" s="2">
        <f t="shared" si="77"/>
        <v>0</v>
      </c>
      <c r="AH74" s="2">
        <f>((EW74*ROUND(1.15,7)))</f>
        <v>342.7</v>
      </c>
      <c r="AI74" s="2">
        <f>((EX74*ROUND(1.25,7)))</f>
        <v>3.1</v>
      </c>
      <c r="AJ74" s="2">
        <f t="shared" si="79"/>
        <v>0</v>
      </c>
      <c r="AK74" s="2">
        <v>3848.95</v>
      </c>
      <c r="AL74" s="2">
        <v>275.88</v>
      </c>
      <c r="AM74" s="2">
        <v>575.19</v>
      </c>
      <c r="AN74" s="2">
        <v>32.95</v>
      </c>
      <c r="AO74" s="2">
        <v>2997.88</v>
      </c>
      <c r="AP74" s="2">
        <v>0</v>
      </c>
      <c r="AQ74" s="2">
        <v>298</v>
      </c>
      <c r="AR74" s="2">
        <v>2.48</v>
      </c>
      <c r="AS74" s="2">
        <v>0</v>
      </c>
      <c r="AT74" s="2">
        <v>93</v>
      </c>
      <c r="AU74" s="2">
        <v>52.7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27</v>
      </c>
      <c r="BK74" s="2"/>
      <c r="BL74" s="2"/>
      <c r="BM74" s="2">
        <v>9001</v>
      </c>
      <c r="BN74" s="2">
        <v>0</v>
      </c>
      <c r="BO74" s="2" t="s">
        <v>3</v>
      </c>
      <c r="BP74" s="2">
        <v>0</v>
      </c>
      <c r="BQ74" s="2">
        <v>2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93</v>
      </c>
      <c r="CA74" s="2">
        <v>62</v>
      </c>
      <c r="CB74" s="2" t="s">
        <v>3</v>
      </c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475</v>
      </c>
      <c r="CO74" s="2">
        <v>0</v>
      </c>
      <c r="CP74" s="2">
        <f t="shared" si="80"/>
        <v>1865.83</v>
      </c>
      <c r="CQ74" s="2">
        <f t="shared" si="81"/>
        <v>275.88</v>
      </c>
      <c r="CR74" s="2">
        <f>((((ET74*ROUND(1.25,7)))*BB74-((EU74*ROUND(1.25,7)))*BS74)+AE74*BS74)</f>
        <v>718.99</v>
      </c>
      <c r="CS74" s="2">
        <f t="shared" si="82"/>
        <v>41.19</v>
      </c>
      <c r="CT74" s="2">
        <f t="shared" si="83"/>
        <v>3447.56</v>
      </c>
      <c r="CU74" s="2">
        <f t="shared" si="84"/>
        <v>0</v>
      </c>
      <c r="CV74" s="2">
        <f t="shared" si="85"/>
        <v>342.7</v>
      </c>
      <c r="CW74" s="2">
        <f t="shared" si="86"/>
        <v>3.1</v>
      </c>
      <c r="CX74" s="2">
        <f t="shared" si="87"/>
        <v>0</v>
      </c>
      <c r="CY74" s="2">
        <f t="shared" si="88"/>
        <v>1362.7104000000002</v>
      </c>
      <c r="CZ74" s="2">
        <f t="shared" si="89"/>
        <v>772.2025600000001</v>
      </c>
      <c r="DA74" s="2"/>
      <c r="DB74" s="2"/>
      <c r="DC74" s="2" t="s">
        <v>3</v>
      </c>
      <c r="DD74" s="2" t="s">
        <v>3</v>
      </c>
      <c r="DE74" s="2" t="s">
        <v>117</v>
      </c>
      <c r="DF74" s="2" t="s">
        <v>117</v>
      </c>
      <c r="DG74" s="2" t="s">
        <v>118</v>
      </c>
      <c r="DH74" s="2" t="s">
        <v>3</v>
      </c>
      <c r="DI74" s="2" t="s">
        <v>118</v>
      </c>
      <c r="DJ74" s="2" t="s">
        <v>117</v>
      </c>
      <c r="DK74" s="2" t="s">
        <v>3</v>
      </c>
      <c r="DL74" s="2" t="s">
        <v>3</v>
      </c>
      <c r="DM74" s="2" t="s">
        <v>119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1005</v>
      </c>
      <c r="DV74" s="2" t="s">
        <v>26</v>
      </c>
      <c r="DW74" s="2" t="s">
        <v>26</v>
      </c>
      <c r="DX74" s="2">
        <v>100</v>
      </c>
      <c r="DY74" s="2"/>
      <c r="DZ74" s="2" t="s">
        <v>3</v>
      </c>
      <c r="EA74" s="2" t="s">
        <v>3</v>
      </c>
      <c r="EB74" s="2" t="s">
        <v>3</v>
      </c>
      <c r="EC74" s="2" t="s">
        <v>3</v>
      </c>
      <c r="ED74" s="2"/>
      <c r="EE74" s="2">
        <v>55471659</v>
      </c>
      <c r="EF74" s="2">
        <v>2</v>
      </c>
      <c r="EG74" s="2" t="s">
        <v>31</v>
      </c>
      <c r="EH74" s="2">
        <v>9</v>
      </c>
      <c r="EI74" s="2" t="s">
        <v>32</v>
      </c>
      <c r="EJ74" s="2">
        <v>1</v>
      </c>
      <c r="EK74" s="2">
        <v>9001</v>
      </c>
      <c r="EL74" s="2" t="s">
        <v>32</v>
      </c>
      <c r="EM74" s="2" t="s">
        <v>33</v>
      </c>
      <c r="EN74" s="2"/>
      <c r="EO74" s="2" t="s">
        <v>120</v>
      </c>
      <c r="EP74" s="2"/>
      <c r="EQ74" s="2">
        <v>0</v>
      </c>
      <c r="ER74" s="2">
        <v>3848.95</v>
      </c>
      <c r="ES74" s="2">
        <v>275.88</v>
      </c>
      <c r="ET74" s="2">
        <v>575.19</v>
      </c>
      <c r="EU74" s="2">
        <v>32.95</v>
      </c>
      <c r="EV74" s="2">
        <v>2997.88</v>
      </c>
      <c r="EW74" s="2">
        <v>298</v>
      </c>
      <c r="EX74" s="2">
        <v>2.48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90"/>
        <v>0</v>
      </c>
      <c r="FS74" s="2">
        <v>0</v>
      </c>
      <c r="FT74" s="2"/>
      <c r="FU74" s="2"/>
      <c r="FV74" s="2"/>
      <c r="FW74" s="2"/>
      <c r="FX74" s="2">
        <v>93</v>
      </c>
      <c r="FY74" s="2">
        <v>52.7</v>
      </c>
      <c r="FZ74" s="2"/>
      <c r="GA74" s="2" t="s">
        <v>3</v>
      </c>
      <c r="GB74" s="2"/>
      <c r="GC74" s="2"/>
      <c r="GD74" s="2">
        <v>1</v>
      </c>
      <c r="GE74" s="2"/>
      <c r="GF74" s="2">
        <v>829803547</v>
      </c>
      <c r="GG74" s="2">
        <v>2</v>
      </c>
      <c r="GH74" s="2">
        <v>1</v>
      </c>
      <c r="GI74" s="2">
        <v>-2</v>
      </c>
      <c r="GJ74" s="2">
        <v>0</v>
      </c>
      <c r="GK74" s="2">
        <v>0</v>
      </c>
      <c r="GL74" s="2">
        <f t="shared" si="91"/>
        <v>0</v>
      </c>
      <c r="GM74" s="2">
        <f t="shared" si="92"/>
        <v>4000.74</v>
      </c>
      <c r="GN74" s="2">
        <f t="shared" si="93"/>
        <v>4000.74</v>
      </c>
      <c r="GO74" s="2">
        <f t="shared" si="94"/>
        <v>0</v>
      </c>
      <c r="GP74" s="2">
        <f t="shared" si="95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96"/>
        <v>0</v>
      </c>
      <c r="GW74" s="2">
        <v>1</v>
      </c>
      <c r="GX74" s="2">
        <f t="shared" si="97"/>
        <v>0</v>
      </c>
      <c r="GY74" s="2"/>
      <c r="GZ74" s="2"/>
      <c r="HA74" s="2">
        <v>0</v>
      </c>
      <c r="HB74" s="2">
        <v>0</v>
      </c>
      <c r="HC74" s="2">
        <f t="shared" si="98"/>
        <v>0</v>
      </c>
      <c r="HD74" s="2"/>
      <c r="HE74" s="2" t="s">
        <v>3</v>
      </c>
      <c r="HF74" s="2" t="s">
        <v>3</v>
      </c>
      <c r="HG74" s="2"/>
      <c r="HH74" s="2"/>
      <c r="HI74" s="2"/>
      <c r="HJ74" s="2"/>
      <c r="HK74" s="2"/>
      <c r="HL74" s="2"/>
      <c r="HM74" s="2" t="s">
        <v>3</v>
      </c>
      <c r="HN74" s="2" t="s">
        <v>35</v>
      </c>
      <c r="HO74" s="2" t="s">
        <v>36</v>
      </c>
      <c r="HP74" s="2" t="s">
        <v>32</v>
      </c>
      <c r="HQ74" s="2" t="s">
        <v>32</v>
      </c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45" ht="12.75">
      <c r="A75">
        <v>17</v>
      </c>
      <c r="B75">
        <v>1</v>
      </c>
      <c r="C75">
        <f>ROW(SmtRes!A162)</f>
        <v>162</v>
      </c>
      <c r="D75">
        <f>ROW(EtalonRes!A176)</f>
        <v>176</v>
      </c>
      <c r="E75" t="s">
        <v>141</v>
      </c>
      <c r="F75" t="s">
        <v>24</v>
      </c>
      <c r="G75" t="s">
        <v>142</v>
      </c>
      <c r="H75" t="s">
        <v>26</v>
      </c>
      <c r="I75">
        <f>ROUND(42/100,7)</f>
        <v>0.42</v>
      </c>
      <c r="J75">
        <v>0</v>
      </c>
      <c r="K75">
        <f>ROUND(42/100,7)</f>
        <v>0.42</v>
      </c>
      <c r="O75">
        <f t="shared" si="63"/>
        <v>58844.21</v>
      </c>
      <c r="P75">
        <f t="shared" si="64"/>
        <v>778.64</v>
      </c>
      <c r="Q75">
        <f t="shared" si="65"/>
        <v>3998.18</v>
      </c>
      <c r="R75">
        <f t="shared" si="66"/>
        <v>645.97</v>
      </c>
      <c r="S75">
        <f t="shared" si="67"/>
        <v>54067.39</v>
      </c>
      <c r="T75">
        <f t="shared" si="68"/>
        <v>0</v>
      </c>
      <c r="U75">
        <f t="shared" si="69"/>
        <v>143.934</v>
      </c>
      <c r="V75">
        <f t="shared" si="70"/>
        <v>1.302</v>
      </c>
      <c r="W75">
        <f t="shared" si="71"/>
        <v>0</v>
      </c>
      <c r="X75">
        <f t="shared" si="72"/>
        <v>50883.42</v>
      </c>
      <c r="Y75">
        <f t="shared" si="73"/>
        <v>28833.94</v>
      </c>
      <c r="AA75">
        <v>55657272</v>
      </c>
      <c r="AB75">
        <f t="shared" si="74"/>
        <v>4442.43</v>
      </c>
      <c r="AC75">
        <f t="shared" si="75"/>
        <v>275.88</v>
      </c>
      <c r="AD75">
        <f>ROUND(((((ET75*ROUND(1.25,7)))-((EU75*ROUND(1.25,7))))+AE75),2)</f>
        <v>718.99</v>
      </c>
      <c r="AE75">
        <f>ROUND(((EU75*ROUND(1.25,7))),2)</f>
        <v>41.19</v>
      </c>
      <c r="AF75">
        <f>ROUND(((EV75*ROUND(1.15,7))),2)</f>
        <v>3447.56</v>
      </c>
      <c r="AG75">
        <f t="shared" si="77"/>
        <v>0</v>
      </c>
      <c r="AH75">
        <f>((EW75*ROUND(1.15,7)))</f>
        <v>342.7</v>
      </c>
      <c r="AI75">
        <f>((EX75*ROUND(1.25,7)))</f>
        <v>3.1</v>
      </c>
      <c r="AJ75">
        <f t="shared" si="79"/>
        <v>0</v>
      </c>
      <c r="AK75">
        <v>3848.95</v>
      </c>
      <c r="AL75">
        <v>275.88</v>
      </c>
      <c r="AM75">
        <v>575.19</v>
      </c>
      <c r="AN75">
        <v>32.95</v>
      </c>
      <c r="AO75">
        <v>2997.88</v>
      </c>
      <c r="AP75">
        <v>0</v>
      </c>
      <c r="AQ75">
        <v>298</v>
      </c>
      <c r="AR75">
        <v>2.48</v>
      </c>
      <c r="AS75">
        <v>0</v>
      </c>
      <c r="AT75">
        <v>93</v>
      </c>
      <c r="AU75">
        <v>52.7</v>
      </c>
      <c r="AV75">
        <v>1</v>
      </c>
      <c r="AW75">
        <v>1</v>
      </c>
      <c r="AZ75">
        <v>1</v>
      </c>
      <c r="BA75">
        <v>37.34</v>
      </c>
      <c r="BB75">
        <v>13.24</v>
      </c>
      <c r="BC75">
        <v>6.72</v>
      </c>
      <c r="BH75">
        <v>0</v>
      </c>
      <c r="BI75">
        <v>1</v>
      </c>
      <c r="BJ75" t="s">
        <v>27</v>
      </c>
      <c r="BM75">
        <v>9001</v>
      </c>
      <c r="BN75">
        <v>0</v>
      </c>
      <c r="BO75" t="s">
        <v>37</v>
      </c>
      <c r="BP75">
        <v>1</v>
      </c>
      <c r="BQ75">
        <v>2</v>
      </c>
      <c r="BR75">
        <v>0</v>
      </c>
      <c r="BS75">
        <v>37.34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93</v>
      </c>
      <c r="CA75">
        <v>62</v>
      </c>
      <c r="CE75">
        <v>0</v>
      </c>
      <c r="CF75">
        <v>0</v>
      </c>
      <c r="CG75">
        <v>0</v>
      </c>
      <c r="CM75">
        <v>0</v>
      </c>
      <c r="CN75" t="s">
        <v>475</v>
      </c>
      <c r="CO75">
        <v>0</v>
      </c>
      <c r="CP75">
        <f t="shared" si="80"/>
        <v>58844.21</v>
      </c>
      <c r="CQ75">
        <f t="shared" si="81"/>
        <v>1853.9135999999999</v>
      </c>
      <c r="CR75">
        <f>((((ET75*ROUND(1.25,7)))*BB75-((EU75*ROUND(1.25,7)))*BS75)+AE75*BS75)</f>
        <v>9519.487850000001</v>
      </c>
      <c r="CS75">
        <f t="shared" si="82"/>
        <v>1538.0346</v>
      </c>
      <c r="CT75">
        <f t="shared" si="83"/>
        <v>128731.8904</v>
      </c>
      <c r="CU75">
        <f t="shared" si="84"/>
        <v>0</v>
      </c>
      <c r="CV75">
        <f t="shared" si="85"/>
        <v>342.7</v>
      </c>
      <c r="CW75">
        <f t="shared" si="86"/>
        <v>3.1</v>
      </c>
      <c r="CX75">
        <f t="shared" si="87"/>
        <v>0</v>
      </c>
      <c r="CY75">
        <f t="shared" si="88"/>
        <v>50883.42480000001</v>
      </c>
      <c r="CZ75">
        <f t="shared" si="89"/>
        <v>28833.940720000002</v>
      </c>
      <c r="DE75" t="s">
        <v>117</v>
      </c>
      <c r="DF75" t="s">
        <v>117</v>
      </c>
      <c r="DG75" t="s">
        <v>118</v>
      </c>
      <c r="DI75" t="s">
        <v>118</v>
      </c>
      <c r="DJ75" t="s">
        <v>117</v>
      </c>
      <c r="DM75" t="s">
        <v>119</v>
      </c>
      <c r="DN75">
        <v>0</v>
      </c>
      <c r="DO75">
        <v>0</v>
      </c>
      <c r="DP75">
        <v>1</v>
      </c>
      <c r="DQ75">
        <v>1</v>
      </c>
      <c r="DU75">
        <v>1005</v>
      </c>
      <c r="DV75" t="s">
        <v>26</v>
      </c>
      <c r="DW75" t="s">
        <v>26</v>
      </c>
      <c r="DX75">
        <v>100</v>
      </c>
      <c r="EE75">
        <v>55471659</v>
      </c>
      <c r="EF75">
        <v>2</v>
      </c>
      <c r="EG75" t="s">
        <v>31</v>
      </c>
      <c r="EH75">
        <v>9</v>
      </c>
      <c r="EI75" t="s">
        <v>32</v>
      </c>
      <c r="EJ75">
        <v>1</v>
      </c>
      <c r="EK75">
        <v>9001</v>
      </c>
      <c r="EL75" t="s">
        <v>32</v>
      </c>
      <c r="EM75" t="s">
        <v>33</v>
      </c>
      <c r="EO75" t="s">
        <v>120</v>
      </c>
      <c r="EQ75">
        <v>0</v>
      </c>
      <c r="ER75">
        <v>3848.95</v>
      </c>
      <c r="ES75">
        <v>275.88</v>
      </c>
      <c r="ET75">
        <v>575.19</v>
      </c>
      <c r="EU75">
        <v>32.95</v>
      </c>
      <c r="EV75">
        <v>2997.88</v>
      </c>
      <c r="EW75">
        <v>298</v>
      </c>
      <c r="EX75">
        <v>2.48</v>
      </c>
      <c r="EY75">
        <v>0</v>
      </c>
      <c r="FQ75">
        <v>0</v>
      </c>
      <c r="FR75">
        <f t="shared" si="90"/>
        <v>0</v>
      </c>
      <c r="FS75">
        <v>0</v>
      </c>
      <c r="FX75">
        <v>93</v>
      </c>
      <c r="FY75">
        <v>52.7</v>
      </c>
      <c r="GD75">
        <v>1</v>
      </c>
      <c r="GF75">
        <v>829803547</v>
      </c>
      <c r="GG75">
        <v>2</v>
      </c>
      <c r="GH75">
        <v>1</v>
      </c>
      <c r="GI75">
        <v>4</v>
      </c>
      <c r="GJ75">
        <v>0</v>
      </c>
      <c r="GK75">
        <v>0</v>
      </c>
      <c r="GL75">
        <f t="shared" si="91"/>
        <v>0</v>
      </c>
      <c r="GM75">
        <f t="shared" si="92"/>
        <v>138561.57</v>
      </c>
      <c r="GN75">
        <f t="shared" si="93"/>
        <v>138561.57</v>
      </c>
      <c r="GO75">
        <f t="shared" si="94"/>
        <v>0</v>
      </c>
      <c r="GP75">
        <f t="shared" si="95"/>
        <v>0</v>
      </c>
      <c r="GR75">
        <v>0</v>
      </c>
      <c r="GS75">
        <v>3</v>
      </c>
      <c r="GT75">
        <v>0</v>
      </c>
      <c r="GV75">
        <f t="shared" si="96"/>
        <v>0</v>
      </c>
      <c r="GW75">
        <v>1</v>
      </c>
      <c r="GX75">
        <f t="shared" si="97"/>
        <v>0</v>
      </c>
      <c r="HA75">
        <v>0</v>
      </c>
      <c r="HB75">
        <v>0</v>
      </c>
      <c r="HC75">
        <f t="shared" si="98"/>
        <v>0</v>
      </c>
      <c r="HN75" t="s">
        <v>35</v>
      </c>
      <c r="HO75" t="s">
        <v>36</v>
      </c>
      <c r="HP75" t="s">
        <v>32</v>
      </c>
      <c r="HQ75" t="s">
        <v>32</v>
      </c>
      <c r="IK75">
        <v>0</v>
      </c>
    </row>
    <row r="76" spans="1:255" ht="12.75">
      <c r="A76" s="2">
        <v>18</v>
      </c>
      <c r="B76" s="2">
        <v>1</v>
      </c>
      <c r="C76" s="2">
        <v>150</v>
      </c>
      <c r="D76" s="2"/>
      <c r="E76" s="2" t="s">
        <v>143</v>
      </c>
      <c r="F76" s="2" t="s">
        <v>144</v>
      </c>
      <c r="G76" s="2" t="s">
        <v>145</v>
      </c>
      <c r="H76" s="2" t="s">
        <v>146</v>
      </c>
      <c r="I76" s="2">
        <f>I74*J76</f>
        <v>42</v>
      </c>
      <c r="J76" s="2">
        <v>100</v>
      </c>
      <c r="K76" s="2">
        <v>100</v>
      </c>
      <c r="L76" s="2"/>
      <c r="M76" s="2"/>
      <c r="N76" s="2"/>
      <c r="O76" s="2">
        <f t="shared" si="63"/>
        <v>1157520</v>
      </c>
      <c r="P76" s="2">
        <f t="shared" si="64"/>
        <v>1157520</v>
      </c>
      <c r="Q76" s="2">
        <f t="shared" si="65"/>
        <v>0</v>
      </c>
      <c r="R76" s="2">
        <f t="shared" si="66"/>
        <v>0</v>
      </c>
      <c r="S76" s="2">
        <f t="shared" si="67"/>
        <v>0</v>
      </c>
      <c r="T76" s="2">
        <f t="shared" si="68"/>
        <v>0</v>
      </c>
      <c r="U76" s="2">
        <f t="shared" si="69"/>
        <v>0</v>
      </c>
      <c r="V76" s="2">
        <f t="shared" si="70"/>
        <v>0</v>
      </c>
      <c r="W76" s="2">
        <f t="shared" si="71"/>
        <v>0</v>
      </c>
      <c r="X76" s="2">
        <f t="shared" si="72"/>
        <v>0</v>
      </c>
      <c r="Y76" s="2">
        <f t="shared" si="73"/>
        <v>0</v>
      </c>
      <c r="Z76" s="2"/>
      <c r="AA76" s="2">
        <v>55656218</v>
      </c>
      <c r="AB76" s="2">
        <f t="shared" si="74"/>
        <v>27560</v>
      </c>
      <c r="AC76" s="2">
        <f t="shared" si="75"/>
        <v>27560</v>
      </c>
      <c r="AD76" s="2">
        <f>ROUND((((ET76)-(EU76))+AE76),2)</f>
        <v>0</v>
      </c>
      <c r="AE76" s="2">
        <f aca="true" t="shared" si="103" ref="AE76:AF79">ROUND((EU76),2)</f>
        <v>0</v>
      </c>
      <c r="AF76" s="2">
        <f t="shared" si="103"/>
        <v>0</v>
      </c>
      <c r="AG76" s="2">
        <f t="shared" si="77"/>
        <v>0</v>
      </c>
      <c r="AH76" s="2">
        <f aca="true" t="shared" si="104" ref="AH76:AI79">(EW76)</f>
        <v>0</v>
      </c>
      <c r="AI76" s="2">
        <f t="shared" si="104"/>
        <v>0</v>
      </c>
      <c r="AJ76" s="2">
        <f t="shared" si="79"/>
        <v>0</v>
      </c>
      <c r="AK76" s="2">
        <v>27560</v>
      </c>
      <c r="AL76" s="2">
        <v>27560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93</v>
      </c>
      <c r="AU76" s="2">
        <v>62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9001</v>
      </c>
      <c r="BN76" s="2">
        <v>0</v>
      </c>
      <c r="BO76" s="2" t="s">
        <v>3</v>
      </c>
      <c r="BP76" s="2">
        <v>0</v>
      </c>
      <c r="BQ76" s="2">
        <v>2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93</v>
      </c>
      <c r="CA76" s="2">
        <v>62</v>
      </c>
      <c r="CB76" s="2" t="s">
        <v>3</v>
      </c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80"/>
        <v>1157520</v>
      </c>
      <c r="CQ76" s="2">
        <f t="shared" si="81"/>
        <v>27560</v>
      </c>
      <c r="CR76" s="2">
        <f>(((ET76)*BB76-(EU76)*BS76)+AE76*BS76)</f>
        <v>0</v>
      </c>
      <c r="CS76" s="2">
        <f t="shared" si="82"/>
        <v>0</v>
      </c>
      <c r="CT76" s="2">
        <f t="shared" si="83"/>
        <v>0</v>
      </c>
      <c r="CU76" s="2">
        <f t="shared" si="84"/>
        <v>0</v>
      </c>
      <c r="CV76" s="2">
        <f t="shared" si="85"/>
        <v>0</v>
      </c>
      <c r="CW76" s="2">
        <f t="shared" si="86"/>
        <v>0</v>
      </c>
      <c r="CX76" s="2">
        <f t="shared" si="87"/>
        <v>0</v>
      </c>
      <c r="CY76" s="2">
        <f t="shared" si="88"/>
        <v>0</v>
      </c>
      <c r="CZ76" s="2">
        <f t="shared" si="89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1005</v>
      </c>
      <c r="DV76" s="2" t="s">
        <v>146</v>
      </c>
      <c r="DW76" s="2" t="s">
        <v>146</v>
      </c>
      <c r="DX76" s="2">
        <v>1</v>
      </c>
      <c r="DY76" s="2"/>
      <c r="DZ76" s="2" t="s">
        <v>3</v>
      </c>
      <c r="EA76" s="2" t="s">
        <v>3</v>
      </c>
      <c r="EB76" s="2" t="s">
        <v>3</v>
      </c>
      <c r="EC76" s="2" t="s">
        <v>3</v>
      </c>
      <c r="ED76" s="2"/>
      <c r="EE76" s="2">
        <v>55471659</v>
      </c>
      <c r="EF76" s="2">
        <v>2</v>
      </c>
      <c r="EG76" s="2" t="s">
        <v>31</v>
      </c>
      <c r="EH76" s="2">
        <v>9</v>
      </c>
      <c r="EI76" s="2" t="s">
        <v>32</v>
      </c>
      <c r="EJ76" s="2">
        <v>1</v>
      </c>
      <c r="EK76" s="2">
        <v>9001</v>
      </c>
      <c r="EL76" s="2" t="s">
        <v>32</v>
      </c>
      <c r="EM76" s="2" t="s">
        <v>33</v>
      </c>
      <c r="EN76" s="2"/>
      <c r="EO76" s="2" t="s">
        <v>3</v>
      </c>
      <c r="EP76" s="2"/>
      <c r="EQ76" s="2">
        <v>0</v>
      </c>
      <c r="ER76" s="2">
        <v>0</v>
      </c>
      <c r="ES76" s="2">
        <v>27560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90"/>
        <v>0</v>
      </c>
      <c r="FS76" s="2">
        <v>0</v>
      </c>
      <c r="FT76" s="2"/>
      <c r="FU76" s="2"/>
      <c r="FV76" s="2"/>
      <c r="FW76" s="2"/>
      <c r="FX76" s="2">
        <v>93</v>
      </c>
      <c r="FY76" s="2">
        <v>62</v>
      </c>
      <c r="FZ76" s="2"/>
      <c r="GA76" s="2" t="s">
        <v>147</v>
      </c>
      <c r="GB76" s="2"/>
      <c r="GC76" s="2"/>
      <c r="GD76" s="2">
        <v>1</v>
      </c>
      <c r="GE76" s="2"/>
      <c r="GF76" s="2">
        <v>-92055618</v>
      </c>
      <c r="GG76" s="2">
        <v>2</v>
      </c>
      <c r="GH76" s="2">
        <v>4</v>
      </c>
      <c r="GI76" s="2">
        <v>-2</v>
      </c>
      <c r="GJ76" s="2">
        <v>0</v>
      </c>
      <c r="GK76" s="2">
        <v>0</v>
      </c>
      <c r="GL76" s="2">
        <f t="shared" si="91"/>
        <v>0</v>
      </c>
      <c r="GM76" s="2">
        <f t="shared" si="92"/>
        <v>1157520</v>
      </c>
      <c r="GN76" s="2">
        <f t="shared" si="93"/>
        <v>1157520</v>
      </c>
      <c r="GO76" s="2">
        <f t="shared" si="94"/>
        <v>0</v>
      </c>
      <c r="GP76" s="2">
        <f t="shared" si="95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6"/>
        <v>0</v>
      </c>
      <c r="GW76" s="2">
        <v>1</v>
      </c>
      <c r="GX76" s="2">
        <f t="shared" si="97"/>
        <v>0</v>
      </c>
      <c r="GY76" s="2"/>
      <c r="GZ76" s="2"/>
      <c r="HA76" s="2">
        <v>0</v>
      </c>
      <c r="HB76" s="2">
        <v>0</v>
      </c>
      <c r="HC76" s="2">
        <f t="shared" si="98"/>
        <v>0</v>
      </c>
      <c r="HD76" s="2"/>
      <c r="HE76" s="2" t="s">
        <v>3</v>
      </c>
      <c r="HF76" s="2" t="s">
        <v>3</v>
      </c>
      <c r="HG76" s="2"/>
      <c r="HH76" s="2"/>
      <c r="HI76" s="2"/>
      <c r="HJ76" s="2"/>
      <c r="HK76" s="2"/>
      <c r="HL76" s="2"/>
      <c r="HM76" s="2" t="s">
        <v>3</v>
      </c>
      <c r="HN76" s="2" t="s">
        <v>35</v>
      </c>
      <c r="HO76" s="2" t="s">
        <v>36</v>
      </c>
      <c r="HP76" s="2" t="s">
        <v>32</v>
      </c>
      <c r="HQ76" s="2" t="s">
        <v>32</v>
      </c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45" ht="12.75">
      <c r="A77">
        <v>18</v>
      </c>
      <c r="B77">
        <v>1</v>
      </c>
      <c r="C77">
        <v>161</v>
      </c>
      <c r="E77" t="s">
        <v>143</v>
      </c>
      <c r="F77" t="s">
        <v>144</v>
      </c>
      <c r="G77" t="s">
        <v>145</v>
      </c>
      <c r="H77" t="s">
        <v>146</v>
      </c>
      <c r="I77">
        <f>I75*J77</f>
        <v>42</v>
      </c>
      <c r="J77">
        <v>100</v>
      </c>
      <c r="K77">
        <v>100</v>
      </c>
      <c r="O77">
        <f t="shared" si="63"/>
        <v>1157520</v>
      </c>
      <c r="P77">
        <f t="shared" si="64"/>
        <v>1157520</v>
      </c>
      <c r="Q77">
        <f t="shared" si="65"/>
        <v>0</v>
      </c>
      <c r="R77">
        <f t="shared" si="66"/>
        <v>0</v>
      </c>
      <c r="S77">
        <f t="shared" si="67"/>
        <v>0</v>
      </c>
      <c r="T77">
        <f t="shared" si="68"/>
        <v>0</v>
      </c>
      <c r="U77">
        <f t="shared" si="69"/>
        <v>0</v>
      </c>
      <c r="V77">
        <f t="shared" si="70"/>
        <v>0</v>
      </c>
      <c r="W77">
        <f t="shared" si="71"/>
        <v>0</v>
      </c>
      <c r="X77">
        <f t="shared" si="72"/>
        <v>0</v>
      </c>
      <c r="Y77">
        <f t="shared" si="73"/>
        <v>0</v>
      </c>
      <c r="AA77">
        <v>55657272</v>
      </c>
      <c r="AB77">
        <f t="shared" si="74"/>
        <v>27560</v>
      </c>
      <c r="AC77">
        <f t="shared" si="75"/>
        <v>27560</v>
      </c>
      <c r="AD77">
        <f>ROUND((((ET77)-(EU77))+AE77),2)</f>
        <v>0</v>
      </c>
      <c r="AE77">
        <f t="shared" si="103"/>
        <v>0</v>
      </c>
      <c r="AF77">
        <f t="shared" si="103"/>
        <v>0</v>
      </c>
      <c r="AG77">
        <f t="shared" si="77"/>
        <v>0</v>
      </c>
      <c r="AH77">
        <f t="shared" si="104"/>
        <v>0</v>
      </c>
      <c r="AI77">
        <f t="shared" si="104"/>
        <v>0</v>
      </c>
      <c r="AJ77">
        <f t="shared" si="79"/>
        <v>0</v>
      </c>
      <c r="AK77">
        <v>27560</v>
      </c>
      <c r="AL77">
        <v>27560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93</v>
      </c>
      <c r="AU77">
        <v>62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H77">
        <v>3</v>
      </c>
      <c r="BI77">
        <v>1</v>
      </c>
      <c r="BM77">
        <v>9001</v>
      </c>
      <c r="BN77">
        <v>0</v>
      </c>
      <c r="BP77">
        <v>0</v>
      </c>
      <c r="BQ77">
        <v>2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93</v>
      </c>
      <c r="CA77">
        <v>62</v>
      </c>
      <c r="CE77">
        <v>0</v>
      </c>
      <c r="CF77">
        <v>0</v>
      </c>
      <c r="CG77">
        <v>0</v>
      </c>
      <c r="CM77">
        <v>0</v>
      </c>
      <c r="CO77">
        <v>0</v>
      </c>
      <c r="CP77">
        <f t="shared" si="80"/>
        <v>1157520</v>
      </c>
      <c r="CQ77">
        <f t="shared" si="81"/>
        <v>27560</v>
      </c>
      <c r="CR77">
        <f>(((ET77)*BB77-(EU77)*BS77)+AE77*BS77)</f>
        <v>0</v>
      </c>
      <c r="CS77">
        <f t="shared" si="82"/>
        <v>0</v>
      </c>
      <c r="CT77">
        <f t="shared" si="83"/>
        <v>0</v>
      </c>
      <c r="CU77">
        <f t="shared" si="84"/>
        <v>0</v>
      </c>
      <c r="CV77">
        <f t="shared" si="85"/>
        <v>0</v>
      </c>
      <c r="CW77">
        <f t="shared" si="86"/>
        <v>0</v>
      </c>
      <c r="CX77">
        <f t="shared" si="87"/>
        <v>0</v>
      </c>
      <c r="CY77">
        <f t="shared" si="88"/>
        <v>0</v>
      </c>
      <c r="CZ77">
        <f t="shared" si="89"/>
        <v>0</v>
      </c>
      <c r="DN77">
        <v>0</v>
      </c>
      <c r="DO77">
        <v>0</v>
      </c>
      <c r="DP77">
        <v>1</v>
      </c>
      <c r="DQ77">
        <v>1</v>
      </c>
      <c r="DU77">
        <v>1005</v>
      </c>
      <c r="DV77" t="s">
        <v>146</v>
      </c>
      <c r="DW77" t="s">
        <v>146</v>
      </c>
      <c r="DX77">
        <v>1</v>
      </c>
      <c r="EE77">
        <v>55471659</v>
      </c>
      <c r="EF77">
        <v>2</v>
      </c>
      <c r="EG77" t="s">
        <v>31</v>
      </c>
      <c r="EH77">
        <v>9</v>
      </c>
      <c r="EI77" t="s">
        <v>32</v>
      </c>
      <c r="EJ77">
        <v>1</v>
      </c>
      <c r="EK77">
        <v>9001</v>
      </c>
      <c r="EL77" t="s">
        <v>32</v>
      </c>
      <c r="EM77" t="s">
        <v>33</v>
      </c>
      <c r="EQ77">
        <v>0</v>
      </c>
      <c r="ER77">
        <v>0</v>
      </c>
      <c r="ES77">
        <v>27560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90"/>
        <v>0</v>
      </c>
      <c r="FS77">
        <v>0</v>
      </c>
      <c r="FX77">
        <v>93</v>
      </c>
      <c r="FY77">
        <v>62</v>
      </c>
      <c r="GA77" t="s">
        <v>147</v>
      </c>
      <c r="GD77">
        <v>1</v>
      </c>
      <c r="GF77">
        <v>-92055618</v>
      </c>
      <c r="GG77">
        <v>2</v>
      </c>
      <c r="GH77">
        <v>2</v>
      </c>
      <c r="GI77">
        <v>3</v>
      </c>
      <c r="GJ77">
        <v>0</v>
      </c>
      <c r="GK77">
        <v>0</v>
      </c>
      <c r="GL77">
        <f t="shared" si="91"/>
        <v>0</v>
      </c>
      <c r="GM77">
        <f t="shared" si="92"/>
        <v>1157520</v>
      </c>
      <c r="GN77">
        <f t="shared" si="93"/>
        <v>1157520</v>
      </c>
      <c r="GO77">
        <f t="shared" si="94"/>
        <v>0</v>
      </c>
      <c r="GP77">
        <f t="shared" si="95"/>
        <v>0</v>
      </c>
      <c r="GR77">
        <v>0</v>
      </c>
      <c r="GS77">
        <v>4</v>
      </c>
      <c r="GT77">
        <v>0</v>
      </c>
      <c r="GV77">
        <f t="shared" si="96"/>
        <v>0</v>
      </c>
      <c r="GW77">
        <v>1</v>
      </c>
      <c r="GX77">
        <f t="shared" si="97"/>
        <v>0</v>
      </c>
      <c r="HA77">
        <v>0</v>
      </c>
      <c r="HB77">
        <v>0</v>
      </c>
      <c r="HC77">
        <f t="shared" si="98"/>
        <v>0</v>
      </c>
      <c r="HN77" t="s">
        <v>35</v>
      </c>
      <c r="HO77" t="s">
        <v>36</v>
      </c>
      <c r="HP77" t="s">
        <v>32</v>
      </c>
      <c r="HQ77" t="s">
        <v>32</v>
      </c>
      <c r="IK77">
        <v>0</v>
      </c>
    </row>
    <row r="78" spans="1:255" ht="12.75">
      <c r="A78" s="2">
        <v>18</v>
      </c>
      <c r="B78" s="2">
        <v>1</v>
      </c>
      <c r="C78" s="2">
        <v>151</v>
      </c>
      <c r="D78" s="2"/>
      <c r="E78" s="2" t="s">
        <v>148</v>
      </c>
      <c r="F78" s="2" t="s">
        <v>144</v>
      </c>
      <c r="G78" s="2" t="s">
        <v>149</v>
      </c>
      <c r="H78" s="2" t="s">
        <v>150</v>
      </c>
      <c r="I78" s="2">
        <f>I74*J78</f>
        <v>1</v>
      </c>
      <c r="J78" s="2">
        <v>2.380952380952381</v>
      </c>
      <c r="K78" s="2">
        <v>2.380952</v>
      </c>
      <c r="L78" s="2"/>
      <c r="M78" s="2"/>
      <c r="N78" s="2"/>
      <c r="O78" s="2">
        <f t="shared" si="63"/>
        <v>73547</v>
      </c>
      <c r="P78" s="2">
        <f t="shared" si="64"/>
        <v>73547</v>
      </c>
      <c r="Q78" s="2">
        <f t="shared" si="65"/>
        <v>0</v>
      </c>
      <c r="R78" s="2">
        <f t="shared" si="66"/>
        <v>0</v>
      </c>
      <c r="S78" s="2">
        <f t="shared" si="67"/>
        <v>0</v>
      </c>
      <c r="T78" s="2">
        <f t="shared" si="68"/>
        <v>0</v>
      </c>
      <c r="U78" s="2">
        <f t="shared" si="69"/>
        <v>0</v>
      </c>
      <c r="V78" s="2">
        <f t="shared" si="70"/>
        <v>0</v>
      </c>
      <c r="W78" s="2">
        <f t="shared" si="71"/>
        <v>0</v>
      </c>
      <c r="X78" s="2">
        <f t="shared" si="72"/>
        <v>0</v>
      </c>
      <c r="Y78" s="2">
        <f t="shared" si="73"/>
        <v>0</v>
      </c>
      <c r="Z78" s="2"/>
      <c r="AA78" s="2">
        <v>55656218</v>
      </c>
      <c r="AB78" s="2">
        <f t="shared" si="74"/>
        <v>73547</v>
      </c>
      <c r="AC78" s="2">
        <f t="shared" si="75"/>
        <v>73547</v>
      </c>
      <c r="AD78" s="2">
        <f>ROUND((((ET78)-(EU78))+AE78),2)</f>
        <v>0</v>
      </c>
      <c r="AE78" s="2">
        <f t="shared" si="103"/>
        <v>0</v>
      </c>
      <c r="AF78" s="2">
        <f t="shared" si="103"/>
        <v>0</v>
      </c>
      <c r="AG78" s="2">
        <f t="shared" si="77"/>
        <v>0</v>
      </c>
      <c r="AH78" s="2">
        <f t="shared" si="104"/>
        <v>0</v>
      </c>
      <c r="AI78" s="2">
        <f t="shared" si="104"/>
        <v>0</v>
      </c>
      <c r="AJ78" s="2">
        <f t="shared" si="79"/>
        <v>0</v>
      </c>
      <c r="AK78" s="2">
        <v>73547</v>
      </c>
      <c r="AL78" s="2">
        <v>73547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93</v>
      </c>
      <c r="AU78" s="2">
        <v>62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9001</v>
      </c>
      <c r="BN78" s="2">
        <v>0</v>
      </c>
      <c r="BO78" s="2" t="s">
        <v>3</v>
      </c>
      <c r="BP78" s="2">
        <v>0</v>
      </c>
      <c r="BQ78" s="2">
        <v>2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93</v>
      </c>
      <c r="CA78" s="2">
        <v>62</v>
      </c>
      <c r="CB78" s="2" t="s">
        <v>3</v>
      </c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80"/>
        <v>73547</v>
      </c>
      <c r="CQ78" s="2">
        <f t="shared" si="81"/>
        <v>73547</v>
      </c>
      <c r="CR78" s="2">
        <f>(((ET78)*BB78-(EU78)*BS78)+AE78*BS78)</f>
        <v>0</v>
      </c>
      <c r="CS78" s="2">
        <f t="shared" si="82"/>
        <v>0</v>
      </c>
      <c r="CT78" s="2">
        <f t="shared" si="83"/>
        <v>0</v>
      </c>
      <c r="CU78" s="2">
        <f t="shared" si="84"/>
        <v>0</v>
      </c>
      <c r="CV78" s="2">
        <f t="shared" si="85"/>
        <v>0</v>
      </c>
      <c r="CW78" s="2">
        <f t="shared" si="86"/>
        <v>0</v>
      </c>
      <c r="CX78" s="2">
        <f t="shared" si="87"/>
        <v>0</v>
      </c>
      <c r="CY78" s="2">
        <f t="shared" si="88"/>
        <v>0</v>
      </c>
      <c r="CZ78" s="2">
        <f t="shared" si="89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1013</v>
      </c>
      <c r="DV78" s="2" t="s">
        <v>150</v>
      </c>
      <c r="DW78" s="2" t="s">
        <v>150</v>
      </c>
      <c r="DX78" s="2">
        <v>1</v>
      </c>
      <c r="DY78" s="2"/>
      <c r="DZ78" s="2" t="s">
        <v>3</v>
      </c>
      <c r="EA78" s="2" t="s">
        <v>3</v>
      </c>
      <c r="EB78" s="2" t="s">
        <v>3</v>
      </c>
      <c r="EC78" s="2" t="s">
        <v>3</v>
      </c>
      <c r="ED78" s="2"/>
      <c r="EE78" s="2">
        <v>55471659</v>
      </c>
      <c r="EF78" s="2">
        <v>2</v>
      </c>
      <c r="EG78" s="2" t="s">
        <v>31</v>
      </c>
      <c r="EH78" s="2">
        <v>9</v>
      </c>
      <c r="EI78" s="2" t="s">
        <v>32</v>
      </c>
      <c r="EJ78" s="2">
        <v>1</v>
      </c>
      <c r="EK78" s="2">
        <v>9001</v>
      </c>
      <c r="EL78" s="2" t="s">
        <v>32</v>
      </c>
      <c r="EM78" s="2" t="s">
        <v>33</v>
      </c>
      <c r="EN78" s="2"/>
      <c r="EO78" s="2" t="s">
        <v>3</v>
      </c>
      <c r="EP78" s="2"/>
      <c r="EQ78" s="2">
        <v>0</v>
      </c>
      <c r="ER78" s="2">
        <v>0</v>
      </c>
      <c r="ES78" s="2">
        <v>73547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90"/>
        <v>0</v>
      </c>
      <c r="FS78" s="2">
        <v>0</v>
      </c>
      <c r="FT78" s="2"/>
      <c r="FU78" s="2"/>
      <c r="FV78" s="2"/>
      <c r="FW78" s="2"/>
      <c r="FX78" s="2">
        <v>93</v>
      </c>
      <c r="FY78" s="2">
        <v>62</v>
      </c>
      <c r="FZ78" s="2"/>
      <c r="GA78" s="2" t="s">
        <v>147</v>
      </c>
      <c r="GB78" s="2"/>
      <c r="GC78" s="2"/>
      <c r="GD78" s="2">
        <v>1</v>
      </c>
      <c r="GE78" s="2"/>
      <c r="GF78" s="2">
        <v>-4912209</v>
      </c>
      <c r="GG78" s="2">
        <v>2</v>
      </c>
      <c r="GH78" s="2">
        <v>4</v>
      </c>
      <c r="GI78" s="2">
        <v>-2</v>
      </c>
      <c r="GJ78" s="2">
        <v>0</v>
      </c>
      <c r="GK78" s="2">
        <v>0</v>
      </c>
      <c r="GL78" s="2">
        <f t="shared" si="91"/>
        <v>0</v>
      </c>
      <c r="GM78" s="2">
        <f t="shared" si="92"/>
        <v>73547</v>
      </c>
      <c r="GN78" s="2">
        <f t="shared" si="93"/>
        <v>73547</v>
      </c>
      <c r="GO78" s="2">
        <f t="shared" si="94"/>
        <v>0</v>
      </c>
      <c r="GP78" s="2">
        <f t="shared" si="95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6"/>
        <v>0</v>
      </c>
      <c r="GW78" s="2">
        <v>1</v>
      </c>
      <c r="GX78" s="2">
        <f t="shared" si="97"/>
        <v>0</v>
      </c>
      <c r="GY78" s="2"/>
      <c r="GZ78" s="2"/>
      <c r="HA78" s="2">
        <v>0</v>
      </c>
      <c r="HB78" s="2">
        <v>0</v>
      </c>
      <c r="HC78" s="2">
        <f t="shared" si="98"/>
        <v>0</v>
      </c>
      <c r="HD78" s="2"/>
      <c r="HE78" s="2" t="s">
        <v>3</v>
      </c>
      <c r="HF78" s="2" t="s">
        <v>3</v>
      </c>
      <c r="HG78" s="2"/>
      <c r="HH78" s="2"/>
      <c r="HI78" s="2"/>
      <c r="HJ78" s="2"/>
      <c r="HK78" s="2"/>
      <c r="HL78" s="2"/>
      <c r="HM78" s="2" t="s">
        <v>3</v>
      </c>
      <c r="HN78" s="2" t="s">
        <v>35</v>
      </c>
      <c r="HO78" s="2" t="s">
        <v>36</v>
      </c>
      <c r="HP78" s="2" t="s">
        <v>32</v>
      </c>
      <c r="HQ78" s="2" t="s">
        <v>32</v>
      </c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45" ht="12.75">
      <c r="A79">
        <v>18</v>
      </c>
      <c r="B79">
        <v>1</v>
      </c>
      <c r="C79">
        <v>162</v>
      </c>
      <c r="E79" t="s">
        <v>148</v>
      </c>
      <c r="F79" t="s">
        <v>144</v>
      </c>
      <c r="G79" t="s">
        <v>149</v>
      </c>
      <c r="H79" t="s">
        <v>150</v>
      </c>
      <c r="I79">
        <f>I75*J79</f>
        <v>1</v>
      </c>
      <c r="J79">
        <v>2.380952380952381</v>
      </c>
      <c r="K79">
        <v>2.380952</v>
      </c>
      <c r="O79">
        <f t="shared" si="63"/>
        <v>73547</v>
      </c>
      <c r="P79">
        <f t="shared" si="64"/>
        <v>73547</v>
      </c>
      <c r="Q79">
        <f t="shared" si="65"/>
        <v>0</v>
      </c>
      <c r="R79">
        <f t="shared" si="66"/>
        <v>0</v>
      </c>
      <c r="S79">
        <f t="shared" si="67"/>
        <v>0</v>
      </c>
      <c r="T79">
        <f t="shared" si="68"/>
        <v>0</v>
      </c>
      <c r="U79">
        <f t="shared" si="69"/>
        <v>0</v>
      </c>
      <c r="V79">
        <f t="shared" si="70"/>
        <v>0</v>
      </c>
      <c r="W79">
        <f t="shared" si="71"/>
        <v>0</v>
      </c>
      <c r="X79">
        <f t="shared" si="72"/>
        <v>0</v>
      </c>
      <c r="Y79">
        <f t="shared" si="73"/>
        <v>0</v>
      </c>
      <c r="AA79">
        <v>55657272</v>
      </c>
      <c r="AB79">
        <f t="shared" si="74"/>
        <v>73547</v>
      </c>
      <c r="AC79">
        <f t="shared" si="75"/>
        <v>73547</v>
      </c>
      <c r="AD79">
        <f>ROUND((((ET79)-(EU79))+AE79),2)</f>
        <v>0</v>
      </c>
      <c r="AE79">
        <f t="shared" si="103"/>
        <v>0</v>
      </c>
      <c r="AF79">
        <f t="shared" si="103"/>
        <v>0</v>
      </c>
      <c r="AG79">
        <f t="shared" si="77"/>
        <v>0</v>
      </c>
      <c r="AH79">
        <f t="shared" si="104"/>
        <v>0</v>
      </c>
      <c r="AI79">
        <f t="shared" si="104"/>
        <v>0</v>
      </c>
      <c r="AJ79">
        <f t="shared" si="79"/>
        <v>0</v>
      </c>
      <c r="AK79">
        <v>73547</v>
      </c>
      <c r="AL79">
        <v>73547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93</v>
      </c>
      <c r="AU79">
        <v>62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H79">
        <v>3</v>
      </c>
      <c r="BI79">
        <v>1</v>
      </c>
      <c r="BM79">
        <v>9001</v>
      </c>
      <c r="BN79">
        <v>0</v>
      </c>
      <c r="BP79">
        <v>0</v>
      </c>
      <c r="BQ79">
        <v>2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93</v>
      </c>
      <c r="CA79">
        <v>62</v>
      </c>
      <c r="CE79">
        <v>0</v>
      </c>
      <c r="CF79">
        <v>0</v>
      </c>
      <c r="CG79">
        <v>0</v>
      </c>
      <c r="CM79">
        <v>0</v>
      </c>
      <c r="CO79">
        <v>0</v>
      </c>
      <c r="CP79">
        <f t="shared" si="80"/>
        <v>73547</v>
      </c>
      <c r="CQ79">
        <f t="shared" si="81"/>
        <v>73547</v>
      </c>
      <c r="CR79">
        <f>(((ET79)*BB79-(EU79)*BS79)+AE79*BS79)</f>
        <v>0</v>
      </c>
      <c r="CS79">
        <f t="shared" si="82"/>
        <v>0</v>
      </c>
      <c r="CT79">
        <f t="shared" si="83"/>
        <v>0</v>
      </c>
      <c r="CU79">
        <f t="shared" si="84"/>
        <v>0</v>
      </c>
      <c r="CV79">
        <f t="shared" si="85"/>
        <v>0</v>
      </c>
      <c r="CW79">
        <f t="shared" si="86"/>
        <v>0</v>
      </c>
      <c r="CX79">
        <f t="shared" si="87"/>
        <v>0</v>
      </c>
      <c r="CY79">
        <f t="shared" si="88"/>
        <v>0</v>
      </c>
      <c r="CZ79">
        <f t="shared" si="89"/>
        <v>0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150</v>
      </c>
      <c r="DW79" t="s">
        <v>150</v>
      </c>
      <c r="DX79">
        <v>1</v>
      </c>
      <c r="EE79">
        <v>55471659</v>
      </c>
      <c r="EF79">
        <v>2</v>
      </c>
      <c r="EG79" t="s">
        <v>31</v>
      </c>
      <c r="EH79">
        <v>9</v>
      </c>
      <c r="EI79" t="s">
        <v>32</v>
      </c>
      <c r="EJ79">
        <v>1</v>
      </c>
      <c r="EK79">
        <v>9001</v>
      </c>
      <c r="EL79" t="s">
        <v>32</v>
      </c>
      <c r="EM79" t="s">
        <v>33</v>
      </c>
      <c r="EQ79">
        <v>0</v>
      </c>
      <c r="ER79">
        <v>0</v>
      </c>
      <c r="ES79">
        <v>73547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90"/>
        <v>0</v>
      </c>
      <c r="FS79">
        <v>0</v>
      </c>
      <c r="FX79">
        <v>93</v>
      </c>
      <c r="FY79">
        <v>62</v>
      </c>
      <c r="GA79" t="s">
        <v>147</v>
      </c>
      <c r="GD79">
        <v>1</v>
      </c>
      <c r="GF79">
        <v>-4912209</v>
      </c>
      <c r="GG79">
        <v>2</v>
      </c>
      <c r="GH79">
        <v>2</v>
      </c>
      <c r="GI79">
        <v>3</v>
      </c>
      <c r="GJ79">
        <v>0</v>
      </c>
      <c r="GK79">
        <v>0</v>
      </c>
      <c r="GL79">
        <f t="shared" si="91"/>
        <v>0</v>
      </c>
      <c r="GM79">
        <f t="shared" si="92"/>
        <v>73547</v>
      </c>
      <c r="GN79">
        <f t="shared" si="93"/>
        <v>73547</v>
      </c>
      <c r="GO79">
        <f t="shared" si="94"/>
        <v>0</v>
      </c>
      <c r="GP79">
        <f t="shared" si="95"/>
        <v>0</v>
      </c>
      <c r="GR79">
        <v>0</v>
      </c>
      <c r="GS79">
        <v>4</v>
      </c>
      <c r="GT79">
        <v>0</v>
      </c>
      <c r="GV79">
        <f t="shared" si="96"/>
        <v>0</v>
      </c>
      <c r="GW79">
        <v>1</v>
      </c>
      <c r="GX79">
        <f t="shared" si="97"/>
        <v>0</v>
      </c>
      <c r="HA79">
        <v>0</v>
      </c>
      <c r="HB79">
        <v>0</v>
      </c>
      <c r="HC79">
        <f t="shared" si="98"/>
        <v>0</v>
      </c>
      <c r="HN79" t="s">
        <v>35</v>
      </c>
      <c r="HO79" t="s">
        <v>36</v>
      </c>
      <c r="HP79" t="s">
        <v>32</v>
      </c>
      <c r="HQ79" t="s">
        <v>32</v>
      </c>
      <c r="IK79">
        <v>0</v>
      </c>
    </row>
    <row r="80" spans="1:255" ht="12.75">
      <c r="A80" s="2">
        <v>17</v>
      </c>
      <c r="B80" s="2">
        <v>1</v>
      </c>
      <c r="C80" s="2">
        <f>ROW(SmtRes!A165)</f>
        <v>165</v>
      </c>
      <c r="D80" s="2">
        <f>ROW(EtalonRes!A179)</f>
        <v>179</v>
      </c>
      <c r="E80" s="2" t="s">
        <v>151</v>
      </c>
      <c r="F80" s="2" t="s">
        <v>152</v>
      </c>
      <c r="G80" s="2" t="s">
        <v>153</v>
      </c>
      <c r="H80" s="2" t="s">
        <v>154</v>
      </c>
      <c r="I80" s="2">
        <f>ROUND(72/100,7)</f>
        <v>0.72</v>
      </c>
      <c r="J80" s="2">
        <v>0</v>
      </c>
      <c r="K80" s="2">
        <f>ROUND(72/100,7)</f>
        <v>0.72</v>
      </c>
      <c r="L80" s="2"/>
      <c r="M80" s="2"/>
      <c r="N80" s="2"/>
      <c r="O80" s="2">
        <f t="shared" si="63"/>
        <v>347.75</v>
      </c>
      <c r="P80" s="2">
        <f t="shared" si="64"/>
        <v>99.17</v>
      </c>
      <c r="Q80" s="2">
        <f t="shared" si="65"/>
        <v>0</v>
      </c>
      <c r="R80" s="2">
        <f t="shared" si="66"/>
        <v>0</v>
      </c>
      <c r="S80" s="2">
        <f t="shared" si="67"/>
        <v>248.58</v>
      </c>
      <c r="T80" s="2">
        <f t="shared" si="68"/>
        <v>0</v>
      </c>
      <c r="U80" s="2">
        <f t="shared" si="69"/>
        <v>27.406799999999997</v>
      </c>
      <c r="V80" s="2">
        <f t="shared" si="70"/>
        <v>0</v>
      </c>
      <c r="W80" s="2">
        <f t="shared" si="71"/>
        <v>0</v>
      </c>
      <c r="X80" s="2">
        <f t="shared" si="72"/>
        <v>231.18</v>
      </c>
      <c r="Y80" s="2">
        <f t="shared" si="73"/>
        <v>131</v>
      </c>
      <c r="Z80" s="2"/>
      <c r="AA80" s="2">
        <v>55656218</v>
      </c>
      <c r="AB80" s="2">
        <f t="shared" si="74"/>
        <v>482.98</v>
      </c>
      <c r="AC80" s="2">
        <f t="shared" si="75"/>
        <v>137.73</v>
      </c>
      <c r="AD80" s="2">
        <f>ROUND(((((ET80*ROUND(1.25,7)))-((EU80*ROUND(1.25,7))))+AE80),2)</f>
        <v>0</v>
      </c>
      <c r="AE80" s="2">
        <f>ROUND(((EU80*ROUND(1.25,7))),2)</f>
        <v>0</v>
      </c>
      <c r="AF80" s="2">
        <f>ROUND(((EV80*ROUND(1.15,7))),2)</f>
        <v>345.25</v>
      </c>
      <c r="AG80" s="2">
        <f t="shared" si="77"/>
        <v>0</v>
      </c>
      <c r="AH80" s="2">
        <f>((EW80*ROUND(1.15,7)))</f>
        <v>38.065</v>
      </c>
      <c r="AI80" s="2">
        <f>((EX80*ROUND(1.25,7)))</f>
        <v>0</v>
      </c>
      <c r="AJ80" s="2">
        <f t="shared" si="79"/>
        <v>0</v>
      </c>
      <c r="AK80" s="2">
        <v>437.95</v>
      </c>
      <c r="AL80" s="2">
        <v>137.73</v>
      </c>
      <c r="AM80" s="2">
        <v>0</v>
      </c>
      <c r="AN80" s="2">
        <v>0</v>
      </c>
      <c r="AO80" s="2">
        <v>300.22</v>
      </c>
      <c r="AP80" s="2">
        <v>0</v>
      </c>
      <c r="AQ80" s="2">
        <v>33.1</v>
      </c>
      <c r="AR80" s="2">
        <v>0</v>
      </c>
      <c r="AS80" s="2">
        <v>0</v>
      </c>
      <c r="AT80" s="2">
        <v>93</v>
      </c>
      <c r="AU80" s="2">
        <v>52.7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0</v>
      </c>
      <c r="BI80" s="2">
        <v>1</v>
      </c>
      <c r="BJ80" s="2" t="s">
        <v>155</v>
      </c>
      <c r="BK80" s="2"/>
      <c r="BL80" s="2"/>
      <c r="BM80" s="2">
        <v>9001</v>
      </c>
      <c r="BN80" s="2">
        <v>0</v>
      </c>
      <c r="BO80" s="2" t="s">
        <v>3</v>
      </c>
      <c r="BP80" s="2">
        <v>0</v>
      </c>
      <c r="BQ80" s="2">
        <v>2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93</v>
      </c>
      <c r="CA80" s="2">
        <v>62</v>
      </c>
      <c r="CB80" s="2" t="s">
        <v>3</v>
      </c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475</v>
      </c>
      <c r="CO80" s="2">
        <v>0</v>
      </c>
      <c r="CP80" s="2">
        <f t="shared" si="80"/>
        <v>347.75</v>
      </c>
      <c r="CQ80" s="2">
        <f t="shared" si="81"/>
        <v>137.73</v>
      </c>
      <c r="CR80" s="2">
        <f>((((ET80*ROUND(1.25,7)))*BB80-((EU80*ROUND(1.25,7)))*BS80)+AE80*BS80)</f>
        <v>0</v>
      </c>
      <c r="CS80" s="2">
        <f t="shared" si="82"/>
        <v>0</v>
      </c>
      <c r="CT80" s="2">
        <f t="shared" si="83"/>
        <v>345.25</v>
      </c>
      <c r="CU80" s="2">
        <f t="shared" si="84"/>
        <v>0</v>
      </c>
      <c r="CV80" s="2">
        <f t="shared" si="85"/>
        <v>38.065</v>
      </c>
      <c r="CW80" s="2">
        <f t="shared" si="86"/>
        <v>0</v>
      </c>
      <c r="CX80" s="2">
        <f t="shared" si="87"/>
        <v>0</v>
      </c>
      <c r="CY80" s="2">
        <f t="shared" si="88"/>
        <v>231.17940000000002</v>
      </c>
      <c r="CZ80" s="2">
        <f t="shared" si="89"/>
        <v>131.00166000000002</v>
      </c>
      <c r="DA80" s="2"/>
      <c r="DB80" s="2"/>
      <c r="DC80" s="2" t="s">
        <v>3</v>
      </c>
      <c r="DD80" s="2" t="s">
        <v>3</v>
      </c>
      <c r="DE80" s="2" t="s">
        <v>117</v>
      </c>
      <c r="DF80" s="2" t="s">
        <v>117</v>
      </c>
      <c r="DG80" s="2" t="s">
        <v>118</v>
      </c>
      <c r="DH80" s="2" t="s">
        <v>3</v>
      </c>
      <c r="DI80" s="2" t="s">
        <v>118</v>
      </c>
      <c r="DJ80" s="2" t="s">
        <v>117</v>
      </c>
      <c r="DK80" s="2" t="s">
        <v>3</v>
      </c>
      <c r="DL80" s="2" t="s">
        <v>3</v>
      </c>
      <c r="DM80" s="2" t="s">
        <v>119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1003</v>
      </c>
      <c r="DV80" s="2" t="s">
        <v>154</v>
      </c>
      <c r="DW80" s="2" t="s">
        <v>154</v>
      </c>
      <c r="DX80" s="2">
        <v>100</v>
      </c>
      <c r="DY80" s="2"/>
      <c r="DZ80" s="2" t="s">
        <v>3</v>
      </c>
      <c r="EA80" s="2" t="s">
        <v>3</v>
      </c>
      <c r="EB80" s="2" t="s">
        <v>3</v>
      </c>
      <c r="EC80" s="2" t="s">
        <v>3</v>
      </c>
      <c r="ED80" s="2"/>
      <c r="EE80" s="2">
        <v>55471659</v>
      </c>
      <c r="EF80" s="2">
        <v>2</v>
      </c>
      <c r="EG80" s="2" t="s">
        <v>31</v>
      </c>
      <c r="EH80" s="2">
        <v>9</v>
      </c>
      <c r="EI80" s="2" t="s">
        <v>32</v>
      </c>
      <c r="EJ80" s="2">
        <v>1</v>
      </c>
      <c r="EK80" s="2">
        <v>9001</v>
      </c>
      <c r="EL80" s="2" t="s">
        <v>32</v>
      </c>
      <c r="EM80" s="2" t="s">
        <v>33</v>
      </c>
      <c r="EN80" s="2"/>
      <c r="EO80" s="2" t="s">
        <v>120</v>
      </c>
      <c r="EP80" s="2"/>
      <c r="EQ80" s="2">
        <v>0</v>
      </c>
      <c r="ER80" s="2">
        <v>437.95</v>
      </c>
      <c r="ES80" s="2">
        <v>137.73</v>
      </c>
      <c r="ET80" s="2">
        <v>0</v>
      </c>
      <c r="EU80" s="2">
        <v>0</v>
      </c>
      <c r="EV80" s="2">
        <v>300.22</v>
      </c>
      <c r="EW80" s="2">
        <v>33.1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90"/>
        <v>0</v>
      </c>
      <c r="FS80" s="2">
        <v>0</v>
      </c>
      <c r="FT80" s="2"/>
      <c r="FU80" s="2"/>
      <c r="FV80" s="2"/>
      <c r="FW80" s="2"/>
      <c r="FX80" s="2">
        <v>93</v>
      </c>
      <c r="FY80" s="2">
        <v>52.7</v>
      </c>
      <c r="FZ80" s="2"/>
      <c r="GA80" s="2" t="s">
        <v>3</v>
      </c>
      <c r="GB80" s="2"/>
      <c r="GC80" s="2"/>
      <c r="GD80" s="2">
        <v>1</v>
      </c>
      <c r="GE80" s="2"/>
      <c r="GF80" s="2">
        <v>977329344</v>
      </c>
      <c r="GG80" s="2">
        <v>2</v>
      </c>
      <c r="GH80" s="2">
        <v>1</v>
      </c>
      <c r="GI80" s="2">
        <v>-2</v>
      </c>
      <c r="GJ80" s="2">
        <v>0</v>
      </c>
      <c r="GK80" s="2">
        <v>0</v>
      </c>
      <c r="GL80" s="2">
        <f t="shared" si="91"/>
        <v>0</v>
      </c>
      <c r="GM80" s="2">
        <f t="shared" si="92"/>
        <v>709.93</v>
      </c>
      <c r="GN80" s="2">
        <f t="shared" si="93"/>
        <v>709.93</v>
      </c>
      <c r="GO80" s="2">
        <f t="shared" si="94"/>
        <v>0</v>
      </c>
      <c r="GP80" s="2">
        <f t="shared" si="95"/>
        <v>0</v>
      </c>
      <c r="GQ80" s="2"/>
      <c r="GR80" s="2">
        <v>0</v>
      </c>
      <c r="GS80" s="2">
        <v>3</v>
      </c>
      <c r="GT80" s="2">
        <v>0</v>
      </c>
      <c r="GU80" s="2" t="s">
        <v>3</v>
      </c>
      <c r="GV80" s="2">
        <f t="shared" si="96"/>
        <v>0</v>
      </c>
      <c r="GW80" s="2">
        <v>1</v>
      </c>
      <c r="GX80" s="2">
        <f t="shared" si="97"/>
        <v>0</v>
      </c>
      <c r="GY80" s="2"/>
      <c r="GZ80" s="2"/>
      <c r="HA80" s="2">
        <v>0</v>
      </c>
      <c r="HB80" s="2">
        <v>0</v>
      </c>
      <c r="HC80" s="2">
        <f t="shared" si="98"/>
        <v>0</v>
      </c>
      <c r="HD80" s="2"/>
      <c r="HE80" s="2" t="s">
        <v>3</v>
      </c>
      <c r="HF80" s="2" t="s">
        <v>3</v>
      </c>
      <c r="HG80" s="2"/>
      <c r="HH80" s="2"/>
      <c r="HI80" s="2"/>
      <c r="HJ80" s="2"/>
      <c r="HK80" s="2"/>
      <c r="HL80" s="2"/>
      <c r="HM80" s="2" t="s">
        <v>3</v>
      </c>
      <c r="HN80" s="2" t="s">
        <v>35</v>
      </c>
      <c r="HO80" s="2" t="s">
        <v>36</v>
      </c>
      <c r="HP80" s="2" t="s">
        <v>32</v>
      </c>
      <c r="HQ80" s="2" t="s">
        <v>32</v>
      </c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45" ht="12.75">
      <c r="A81">
        <v>17</v>
      </c>
      <c r="B81">
        <v>1</v>
      </c>
      <c r="C81">
        <f>ROW(SmtRes!A168)</f>
        <v>168</v>
      </c>
      <c r="D81">
        <f>ROW(EtalonRes!A182)</f>
        <v>182</v>
      </c>
      <c r="E81" t="s">
        <v>151</v>
      </c>
      <c r="F81" t="s">
        <v>152</v>
      </c>
      <c r="G81" t="s">
        <v>153</v>
      </c>
      <c r="H81" t="s">
        <v>154</v>
      </c>
      <c r="I81">
        <f>ROUND(72/100,7)</f>
        <v>0.72</v>
      </c>
      <c r="J81">
        <v>0</v>
      </c>
      <c r="K81">
        <f>ROUND(72/100,7)</f>
        <v>0.72</v>
      </c>
      <c r="O81">
        <f t="shared" si="63"/>
        <v>9948.37</v>
      </c>
      <c r="P81">
        <f t="shared" si="64"/>
        <v>666.39</v>
      </c>
      <c r="Q81">
        <f t="shared" si="65"/>
        <v>0</v>
      </c>
      <c r="R81">
        <f t="shared" si="66"/>
        <v>0</v>
      </c>
      <c r="S81">
        <f t="shared" si="67"/>
        <v>9281.98</v>
      </c>
      <c r="T81">
        <f t="shared" si="68"/>
        <v>0</v>
      </c>
      <c r="U81">
        <f t="shared" si="69"/>
        <v>27.406799999999997</v>
      </c>
      <c r="V81">
        <f t="shared" si="70"/>
        <v>0</v>
      </c>
      <c r="W81">
        <f t="shared" si="71"/>
        <v>0</v>
      </c>
      <c r="X81">
        <f t="shared" si="72"/>
        <v>8632.24</v>
      </c>
      <c r="Y81">
        <f t="shared" si="73"/>
        <v>4891.6</v>
      </c>
      <c r="AA81">
        <v>55657272</v>
      </c>
      <c r="AB81">
        <f t="shared" si="74"/>
        <v>482.98</v>
      </c>
      <c r="AC81">
        <f t="shared" si="75"/>
        <v>137.73</v>
      </c>
      <c r="AD81">
        <f>ROUND(((((ET81*ROUND(1.25,7)))-((EU81*ROUND(1.25,7))))+AE81),2)</f>
        <v>0</v>
      </c>
      <c r="AE81">
        <f>ROUND(((EU81*ROUND(1.25,7))),2)</f>
        <v>0</v>
      </c>
      <c r="AF81">
        <f>ROUND(((EV81*ROUND(1.15,7))),2)</f>
        <v>345.25</v>
      </c>
      <c r="AG81">
        <f t="shared" si="77"/>
        <v>0</v>
      </c>
      <c r="AH81">
        <f>((EW81*ROUND(1.15,7)))</f>
        <v>38.065</v>
      </c>
      <c r="AI81">
        <f>((EX81*ROUND(1.25,7)))</f>
        <v>0</v>
      </c>
      <c r="AJ81">
        <f t="shared" si="79"/>
        <v>0</v>
      </c>
      <c r="AK81">
        <v>437.95</v>
      </c>
      <c r="AL81">
        <v>137.73</v>
      </c>
      <c r="AM81">
        <v>0</v>
      </c>
      <c r="AN81">
        <v>0</v>
      </c>
      <c r="AO81">
        <v>300.22</v>
      </c>
      <c r="AP81">
        <v>0</v>
      </c>
      <c r="AQ81">
        <v>33.1</v>
      </c>
      <c r="AR81">
        <v>0</v>
      </c>
      <c r="AS81">
        <v>0</v>
      </c>
      <c r="AT81">
        <v>93</v>
      </c>
      <c r="AU81">
        <v>52.7</v>
      </c>
      <c r="AV81">
        <v>1</v>
      </c>
      <c r="AW81">
        <v>1</v>
      </c>
      <c r="AZ81">
        <v>1</v>
      </c>
      <c r="BA81">
        <v>37.34</v>
      </c>
      <c r="BB81">
        <v>13.24</v>
      </c>
      <c r="BC81">
        <v>6.72</v>
      </c>
      <c r="BH81">
        <v>0</v>
      </c>
      <c r="BI81">
        <v>1</v>
      </c>
      <c r="BJ81" t="s">
        <v>155</v>
      </c>
      <c r="BM81">
        <v>9001</v>
      </c>
      <c r="BN81">
        <v>0</v>
      </c>
      <c r="BO81" t="s">
        <v>37</v>
      </c>
      <c r="BP81">
        <v>1</v>
      </c>
      <c r="BQ81">
        <v>2</v>
      </c>
      <c r="BR81">
        <v>0</v>
      </c>
      <c r="BS81">
        <v>37.34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93</v>
      </c>
      <c r="CA81">
        <v>62</v>
      </c>
      <c r="CE81">
        <v>0</v>
      </c>
      <c r="CF81">
        <v>0</v>
      </c>
      <c r="CG81">
        <v>0</v>
      </c>
      <c r="CM81">
        <v>0</v>
      </c>
      <c r="CN81" t="s">
        <v>475</v>
      </c>
      <c r="CO81">
        <v>0</v>
      </c>
      <c r="CP81">
        <f t="shared" si="80"/>
        <v>9948.369999999999</v>
      </c>
      <c r="CQ81">
        <f t="shared" si="81"/>
        <v>925.5455999999999</v>
      </c>
      <c r="CR81">
        <f>((((ET81*ROUND(1.25,7)))*BB81-((EU81*ROUND(1.25,7)))*BS81)+AE81*BS81)</f>
        <v>0</v>
      </c>
      <c r="CS81">
        <f t="shared" si="82"/>
        <v>0</v>
      </c>
      <c r="CT81">
        <f t="shared" si="83"/>
        <v>12891.635000000002</v>
      </c>
      <c r="CU81">
        <f t="shared" si="84"/>
        <v>0</v>
      </c>
      <c r="CV81">
        <f t="shared" si="85"/>
        <v>38.065</v>
      </c>
      <c r="CW81">
        <f t="shared" si="86"/>
        <v>0</v>
      </c>
      <c r="CX81">
        <f t="shared" si="87"/>
        <v>0</v>
      </c>
      <c r="CY81">
        <f t="shared" si="88"/>
        <v>8632.2414</v>
      </c>
      <c r="CZ81">
        <f t="shared" si="89"/>
        <v>4891.60346</v>
      </c>
      <c r="DE81" t="s">
        <v>117</v>
      </c>
      <c r="DF81" t="s">
        <v>117</v>
      </c>
      <c r="DG81" t="s">
        <v>118</v>
      </c>
      <c r="DI81" t="s">
        <v>118</v>
      </c>
      <c r="DJ81" t="s">
        <v>117</v>
      </c>
      <c r="DM81" t="s">
        <v>119</v>
      </c>
      <c r="DN81">
        <v>0</v>
      </c>
      <c r="DO81">
        <v>0</v>
      </c>
      <c r="DP81">
        <v>1</v>
      </c>
      <c r="DQ81">
        <v>1</v>
      </c>
      <c r="DU81">
        <v>1003</v>
      </c>
      <c r="DV81" t="s">
        <v>154</v>
      </c>
      <c r="DW81" t="s">
        <v>154</v>
      </c>
      <c r="DX81">
        <v>100</v>
      </c>
      <c r="EE81">
        <v>55471659</v>
      </c>
      <c r="EF81">
        <v>2</v>
      </c>
      <c r="EG81" t="s">
        <v>31</v>
      </c>
      <c r="EH81">
        <v>9</v>
      </c>
      <c r="EI81" t="s">
        <v>32</v>
      </c>
      <c r="EJ81">
        <v>1</v>
      </c>
      <c r="EK81">
        <v>9001</v>
      </c>
      <c r="EL81" t="s">
        <v>32</v>
      </c>
      <c r="EM81" t="s">
        <v>33</v>
      </c>
      <c r="EO81" t="s">
        <v>120</v>
      </c>
      <c r="EQ81">
        <v>0</v>
      </c>
      <c r="ER81">
        <v>437.95</v>
      </c>
      <c r="ES81">
        <v>137.73</v>
      </c>
      <c r="ET81">
        <v>0</v>
      </c>
      <c r="EU81">
        <v>0</v>
      </c>
      <c r="EV81">
        <v>300.22</v>
      </c>
      <c r="EW81">
        <v>33.1</v>
      </c>
      <c r="EX81">
        <v>0</v>
      </c>
      <c r="EY81">
        <v>0</v>
      </c>
      <c r="FQ81">
        <v>0</v>
      </c>
      <c r="FR81">
        <f t="shared" si="90"/>
        <v>0</v>
      </c>
      <c r="FS81">
        <v>0</v>
      </c>
      <c r="FX81">
        <v>93</v>
      </c>
      <c r="FY81">
        <v>52.7</v>
      </c>
      <c r="GD81">
        <v>1</v>
      </c>
      <c r="GF81">
        <v>977329344</v>
      </c>
      <c r="GG81">
        <v>2</v>
      </c>
      <c r="GH81">
        <v>1</v>
      </c>
      <c r="GI81">
        <v>4</v>
      </c>
      <c r="GJ81">
        <v>0</v>
      </c>
      <c r="GK81">
        <v>0</v>
      </c>
      <c r="GL81">
        <f t="shared" si="91"/>
        <v>0</v>
      </c>
      <c r="GM81">
        <f t="shared" si="92"/>
        <v>23472.21</v>
      </c>
      <c r="GN81">
        <f t="shared" si="93"/>
        <v>23472.21</v>
      </c>
      <c r="GO81">
        <f t="shared" si="94"/>
        <v>0</v>
      </c>
      <c r="GP81">
        <f t="shared" si="95"/>
        <v>0</v>
      </c>
      <c r="GR81">
        <v>0</v>
      </c>
      <c r="GS81">
        <v>3</v>
      </c>
      <c r="GT81">
        <v>0</v>
      </c>
      <c r="GV81">
        <f t="shared" si="96"/>
        <v>0</v>
      </c>
      <c r="GW81">
        <v>1</v>
      </c>
      <c r="GX81">
        <f t="shared" si="97"/>
        <v>0</v>
      </c>
      <c r="HA81">
        <v>0</v>
      </c>
      <c r="HB81">
        <v>0</v>
      </c>
      <c r="HC81">
        <f t="shared" si="98"/>
        <v>0</v>
      </c>
      <c r="HN81" t="s">
        <v>35</v>
      </c>
      <c r="HO81" t="s">
        <v>36</v>
      </c>
      <c r="HP81" t="s">
        <v>32</v>
      </c>
      <c r="HQ81" t="s">
        <v>32</v>
      </c>
      <c r="IK81">
        <v>0</v>
      </c>
    </row>
    <row r="82" spans="1:255" ht="12.75">
      <c r="A82" s="2">
        <v>18</v>
      </c>
      <c r="B82" s="2">
        <v>1</v>
      </c>
      <c r="C82" s="2">
        <v>165</v>
      </c>
      <c r="D82" s="2"/>
      <c r="E82" s="2" t="s">
        <v>156</v>
      </c>
      <c r="F82" s="2" t="s">
        <v>144</v>
      </c>
      <c r="G82" s="2" t="s">
        <v>157</v>
      </c>
      <c r="H82" s="2" t="s">
        <v>158</v>
      </c>
      <c r="I82" s="2">
        <f>I80*J82</f>
        <v>72</v>
      </c>
      <c r="J82" s="2">
        <v>100</v>
      </c>
      <c r="K82" s="2">
        <v>100</v>
      </c>
      <c r="L82" s="2"/>
      <c r="M82" s="2"/>
      <c r="N82" s="2"/>
      <c r="O82" s="2">
        <f t="shared" si="63"/>
        <v>210024</v>
      </c>
      <c r="P82" s="2">
        <f t="shared" si="64"/>
        <v>210024</v>
      </c>
      <c r="Q82" s="2">
        <f t="shared" si="65"/>
        <v>0</v>
      </c>
      <c r="R82" s="2">
        <f t="shared" si="66"/>
        <v>0</v>
      </c>
      <c r="S82" s="2">
        <f t="shared" si="67"/>
        <v>0</v>
      </c>
      <c r="T82" s="2">
        <f t="shared" si="68"/>
        <v>0</v>
      </c>
      <c r="U82" s="2">
        <f t="shared" si="69"/>
        <v>0</v>
      </c>
      <c r="V82" s="2">
        <f t="shared" si="70"/>
        <v>0</v>
      </c>
      <c r="W82" s="2">
        <f t="shared" si="71"/>
        <v>0</v>
      </c>
      <c r="X82" s="2">
        <f t="shared" si="72"/>
        <v>0</v>
      </c>
      <c r="Y82" s="2">
        <f t="shared" si="73"/>
        <v>0</v>
      </c>
      <c r="Z82" s="2"/>
      <c r="AA82" s="2">
        <v>55656218</v>
      </c>
      <c r="AB82" s="2">
        <f t="shared" si="74"/>
        <v>2917</v>
      </c>
      <c r="AC82" s="2">
        <f t="shared" si="75"/>
        <v>2917</v>
      </c>
      <c r="AD82" s="2">
        <f aca="true" t="shared" si="105" ref="AD82:AD93">ROUND((((ET82)-(EU82))+AE82),2)</f>
        <v>0</v>
      </c>
      <c r="AE82" s="2">
        <f aca="true" t="shared" si="106" ref="AE82:AE93">ROUND((EU82),2)</f>
        <v>0</v>
      </c>
      <c r="AF82" s="2">
        <f aca="true" t="shared" si="107" ref="AF82:AF93">ROUND((EV82),2)</f>
        <v>0</v>
      </c>
      <c r="AG82" s="2">
        <f t="shared" si="77"/>
        <v>0</v>
      </c>
      <c r="AH82" s="2">
        <f aca="true" t="shared" si="108" ref="AH82:AH93">(EW82)</f>
        <v>0</v>
      </c>
      <c r="AI82" s="2">
        <f aca="true" t="shared" si="109" ref="AI82:AI93">(EX82)</f>
        <v>0</v>
      </c>
      <c r="AJ82" s="2">
        <f t="shared" si="79"/>
        <v>0</v>
      </c>
      <c r="AK82" s="2">
        <v>2917</v>
      </c>
      <c r="AL82" s="2">
        <v>2917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93</v>
      </c>
      <c r="AU82" s="2">
        <v>62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9001</v>
      </c>
      <c r="BN82" s="2">
        <v>0</v>
      </c>
      <c r="BO82" s="2" t="s">
        <v>3</v>
      </c>
      <c r="BP82" s="2">
        <v>0</v>
      </c>
      <c r="BQ82" s="2">
        <v>2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93</v>
      </c>
      <c r="CA82" s="2">
        <v>62</v>
      </c>
      <c r="CB82" s="2" t="s">
        <v>3</v>
      </c>
      <c r="CC82" s="2"/>
      <c r="CD82" s="2"/>
      <c r="CE82" s="2">
        <v>0</v>
      </c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80"/>
        <v>210024</v>
      </c>
      <c r="CQ82" s="2">
        <f t="shared" si="81"/>
        <v>2917</v>
      </c>
      <c r="CR82" s="2">
        <f aca="true" t="shared" si="110" ref="CR82:CR93">(((ET82)*BB82-(EU82)*BS82)+AE82*BS82)</f>
        <v>0</v>
      </c>
      <c r="CS82" s="2">
        <f t="shared" si="82"/>
        <v>0</v>
      </c>
      <c r="CT82" s="2">
        <f t="shared" si="83"/>
        <v>0</v>
      </c>
      <c r="CU82" s="2">
        <f t="shared" si="84"/>
        <v>0</v>
      </c>
      <c r="CV82" s="2">
        <f t="shared" si="85"/>
        <v>0</v>
      </c>
      <c r="CW82" s="2">
        <f t="shared" si="86"/>
        <v>0</v>
      </c>
      <c r="CX82" s="2">
        <f t="shared" si="87"/>
        <v>0</v>
      </c>
      <c r="CY82" s="2">
        <f t="shared" si="88"/>
        <v>0</v>
      </c>
      <c r="CZ82" s="2">
        <f t="shared" si="89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1003</v>
      </c>
      <c r="DV82" s="2" t="s">
        <v>158</v>
      </c>
      <c r="DW82" s="2" t="s">
        <v>158</v>
      </c>
      <c r="DX82" s="2">
        <v>1</v>
      </c>
      <c r="DY82" s="2"/>
      <c r="DZ82" s="2" t="s">
        <v>3</v>
      </c>
      <c r="EA82" s="2" t="s">
        <v>3</v>
      </c>
      <c r="EB82" s="2" t="s">
        <v>3</v>
      </c>
      <c r="EC82" s="2" t="s">
        <v>3</v>
      </c>
      <c r="ED82" s="2"/>
      <c r="EE82" s="2">
        <v>55471659</v>
      </c>
      <c r="EF82" s="2">
        <v>2</v>
      </c>
      <c r="EG82" s="2" t="s">
        <v>31</v>
      </c>
      <c r="EH82" s="2">
        <v>9</v>
      </c>
      <c r="EI82" s="2" t="s">
        <v>32</v>
      </c>
      <c r="EJ82" s="2">
        <v>1</v>
      </c>
      <c r="EK82" s="2">
        <v>9001</v>
      </c>
      <c r="EL82" s="2" t="s">
        <v>32</v>
      </c>
      <c r="EM82" s="2" t="s">
        <v>33</v>
      </c>
      <c r="EN82" s="2"/>
      <c r="EO82" s="2" t="s">
        <v>3</v>
      </c>
      <c r="EP82" s="2"/>
      <c r="EQ82" s="2">
        <v>0</v>
      </c>
      <c r="ER82" s="2">
        <v>0</v>
      </c>
      <c r="ES82" s="2">
        <v>2917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90"/>
        <v>0</v>
      </c>
      <c r="FS82" s="2">
        <v>0</v>
      </c>
      <c r="FT82" s="2"/>
      <c r="FU82" s="2"/>
      <c r="FV82" s="2"/>
      <c r="FW82" s="2"/>
      <c r="FX82" s="2">
        <v>93</v>
      </c>
      <c r="FY82" s="2">
        <v>62</v>
      </c>
      <c r="FZ82" s="2"/>
      <c r="GA82" s="2" t="s">
        <v>147</v>
      </c>
      <c r="GB82" s="2"/>
      <c r="GC82" s="2"/>
      <c r="GD82" s="2">
        <v>1</v>
      </c>
      <c r="GE82" s="2"/>
      <c r="GF82" s="2">
        <v>-1167678067</v>
      </c>
      <c r="GG82" s="2">
        <v>2</v>
      </c>
      <c r="GH82" s="2">
        <v>4</v>
      </c>
      <c r="GI82" s="2">
        <v>-2</v>
      </c>
      <c r="GJ82" s="2">
        <v>0</v>
      </c>
      <c r="GK82" s="2">
        <v>0</v>
      </c>
      <c r="GL82" s="2">
        <f t="shared" si="91"/>
        <v>0</v>
      </c>
      <c r="GM82" s="2">
        <f t="shared" si="92"/>
        <v>210024</v>
      </c>
      <c r="GN82" s="2">
        <f t="shared" si="93"/>
        <v>210024</v>
      </c>
      <c r="GO82" s="2">
        <f t="shared" si="94"/>
        <v>0</v>
      </c>
      <c r="GP82" s="2">
        <f t="shared" si="95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6"/>
        <v>0</v>
      </c>
      <c r="GW82" s="2">
        <v>1</v>
      </c>
      <c r="GX82" s="2">
        <f t="shared" si="97"/>
        <v>0</v>
      </c>
      <c r="GY82" s="2"/>
      <c r="GZ82" s="2"/>
      <c r="HA82" s="2">
        <v>0</v>
      </c>
      <c r="HB82" s="2">
        <v>0</v>
      </c>
      <c r="HC82" s="2">
        <f t="shared" si="98"/>
        <v>0</v>
      </c>
      <c r="HD82" s="2"/>
      <c r="HE82" s="2" t="s">
        <v>3</v>
      </c>
      <c r="HF82" s="2" t="s">
        <v>3</v>
      </c>
      <c r="HG82" s="2"/>
      <c r="HH82" s="2"/>
      <c r="HI82" s="2"/>
      <c r="HJ82" s="2"/>
      <c r="HK82" s="2"/>
      <c r="HL82" s="2"/>
      <c r="HM82" s="2" t="s">
        <v>3</v>
      </c>
      <c r="HN82" s="2" t="s">
        <v>35</v>
      </c>
      <c r="HO82" s="2" t="s">
        <v>36</v>
      </c>
      <c r="HP82" s="2" t="s">
        <v>32</v>
      </c>
      <c r="HQ82" s="2" t="s">
        <v>32</v>
      </c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45" ht="12.75">
      <c r="A83">
        <v>18</v>
      </c>
      <c r="B83">
        <v>1</v>
      </c>
      <c r="C83">
        <v>168</v>
      </c>
      <c r="E83" t="s">
        <v>156</v>
      </c>
      <c r="F83" t="s">
        <v>144</v>
      </c>
      <c r="G83" t="s">
        <v>157</v>
      </c>
      <c r="H83" t="s">
        <v>158</v>
      </c>
      <c r="I83">
        <f>I81*J83</f>
        <v>72</v>
      </c>
      <c r="J83">
        <v>100</v>
      </c>
      <c r="K83">
        <v>100</v>
      </c>
      <c r="O83">
        <f t="shared" si="63"/>
        <v>210024</v>
      </c>
      <c r="P83">
        <f t="shared" si="64"/>
        <v>210024</v>
      </c>
      <c r="Q83">
        <f t="shared" si="65"/>
        <v>0</v>
      </c>
      <c r="R83">
        <f t="shared" si="66"/>
        <v>0</v>
      </c>
      <c r="S83">
        <f t="shared" si="67"/>
        <v>0</v>
      </c>
      <c r="T83">
        <f t="shared" si="68"/>
        <v>0</v>
      </c>
      <c r="U83">
        <f t="shared" si="69"/>
        <v>0</v>
      </c>
      <c r="V83">
        <f t="shared" si="70"/>
        <v>0</v>
      </c>
      <c r="W83">
        <f t="shared" si="71"/>
        <v>0</v>
      </c>
      <c r="X83">
        <f t="shared" si="72"/>
        <v>0</v>
      </c>
      <c r="Y83">
        <f t="shared" si="73"/>
        <v>0</v>
      </c>
      <c r="AA83">
        <v>55657272</v>
      </c>
      <c r="AB83">
        <f t="shared" si="74"/>
        <v>2917</v>
      </c>
      <c r="AC83">
        <f t="shared" si="75"/>
        <v>2917</v>
      </c>
      <c r="AD83">
        <f t="shared" si="105"/>
        <v>0</v>
      </c>
      <c r="AE83">
        <f t="shared" si="106"/>
        <v>0</v>
      </c>
      <c r="AF83">
        <f t="shared" si="107"/>
        <v>0</v>
      </c>
      <c r="AG83">
        <f t="shared" si="77"/>
        <v>0</v>
      </c>
      <c r="AH83">
        <f t="shared" si="108"/>
        <v>0</v>
      </c>
      <c r="AI83">
        <f t="shared" si="109"/>
        <v>0</v>
      </c>
      <c r="AJ83">
        <f t="shared" si="79"/>
        <v>0</v>
      </c>
      <c r="AK83">
        <v>2917</v>
      </c>
      <c r="AL83">
        <v>2917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93</v>
      </c>
      <c r="AU83">
        <v>62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1</v>
      </c>
      <c r="BM83">
        <v>9001</v>
      </c>
      <c r="BN83">
        <v>0</v>
      </c>
      <c r="BP83">
        <v>0</v>
      </c>
      <c r="BQ83">
        <v>2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93</v>
      </c>
      <c r="CA83">
        <v>62</v>
      </c>
      <c r="CE83">
        <v>0</v>
      </c>
      <c r="CF83">
        <v>0</v>
      </c>
      <c r="CG83">
        <v>0</v>
      </c>
      <c r="CM83">
        <v>0</v>
      </c>
      <c r="CO83">
        <v>0</v>
      </c>
      <c r="CP83">
        <f t="shared" si="80"/>
        <v>210024</v>
      </c>
      <c r="CQ83">
        <f t="shared" si="81"/>
        <v>2917</v>
      </c>
      <c r="CR83">
        <f t="shared" si="110"/>
        <v>0</v>
      </c>
      <c r="CS83">
        <f t="shared" si="82"/>
        <v>0</v>
      </c>
      <c r="CT83">
        <f t="shared" si="83"/>
        <v>0</v>
      </c>
      <c r="CU83">
        <f t="shared" si="84"/>
        <v>0</v>
      </c>
      <c r="CV83">
        <f t="shared" si="85"/>
        <v>0</v>
      </c>
      <c r="CW83">
        <f t="shared" si="86"/>
        <v>0</v>
      </c>
      <c r="CX83">
        <f t="shared" si="87"/>
        <v>0</v>
      </c>
      <c r="CY83">
        <f t="shared" si="88"/>
        <v>0</v>
      </c>
      <c r="CZ83">
        <f t="shared" si="89"/>
        <v>0</v>
      </c>
      <c r="DN83">
        <v>0</v>
      </c>
      <c r="DO83">
        <v>0</v>
      </c>
      <c r="DP83">
        <v>1</v>
      </c>
      <c r="DQ83">
        <v>1</v>
      </c>
      <c r="DU83">
        <v>1003</v>
      </c>
      <c r="DV83" t="s">
        <v>158</v>
      </c>
      <c r="DW83" t="s">
        <v>158</v>
      </c>
      <c r="DX83">
        <v>1</v>
      </c>
      <c r="EE83">
        <v>55471659</v>
      </c>
      <c r="EF83">
        <v>2</v>
      </c>
      <c r="EG83" t="s">
        <v>31</v>
      </c>
      <c r="EH83">
        <v>9</v>
      </c>
      <c r="EI83" t="s">
        <v>32</v>
      </c>
      <c r="EJ83">
        <v>1</v>
      </c>
      <c r="EK83">
        <v>9001</v>
      </c>
      <c r="EL83" t="s">
        <v>32</v>
      </c>
      <c r="EM83" t="s">
        <v>33</v>
      </c>
      <c r="EQ83">
        <v>0</v>
      </c>
      <c r="ER83">
        <v>0</v>
      </c>
      <c r="ES83">
        <v>2917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90"/>
        <v>0</v>
      </c>
      <c r="FS83">
        <v>0</v>
      </c>
      <c r="FX83">
        <v>93</v>
      </c>
      <c r="FY83">
        <v>62</v>
      </c>
      <c r="GA83" t="s">
        <v>147</v>
      </c>
      <c r="GD83">
        <v>1</v>
      </c>
      <c r="GF83">
        <v>-1167678067</v>
      </c>
      <c r="GG83">
        <v>2</v>
      </c>
      <c r="GH83">
        <v>2</v>
      </c>
      <c r="GI83">
        <v>3</v>
      </c>
      <c r="GJ83">
        <v>0</v>
      </c>
      <c r="GK83">
        <v>0</v>
      </c>
      <c r="GL83">
        <f t="shared" si="91"/>
        <v>0</v>
      </c>
      <c r="GM83">
        <f t="shared" si="92"/>
        <v>210024</v>
      </c>
      <c r="GN83">
        <f t="shared" si="93"/>
        <v>210024</v>
      </c>
      <c r="GO83">
        <f t="shared" si="94"/>
        <v>0</v>
      </c>
      <c r="GP83">
        <f t="shared" si="95"/>
        <v>0</v>
      </c>
      <c r="GR83">
        <v>0</v>
      </c>
      <c r="GS83">
        <v>4</v>
      </c>
      <c r="GT83">
        <v>0</v>
      </c>
      <c r="GV83">
        <f t="shared" si="96"/>
        <v>0</v>
      </c>
      <c r="GW83">
        <v>1</v>
      </c>
      <c r="GX83">
        <f t="shared" si="97"/>
        <v>0</v>
      </c>
      <c r="HA83">
        <v>0</v>
      </c>
      <c r="HB83">
        <v>0</v>
      </c>
      <c r="HC83">
        <f t="shared" si="98"/>
        <v>0</v>
      </c>
      <c r="HN83" t="s">
        <v>35</v>
      </c>
      <c r="HO83" t="s">
        <v>36</v>
      </c>
      <c r="HP83" t="s">
        <v>32</v>
      </c>
      <c r="HQ83" t="s">
        <v>32</v>
      </c>
      <c r="IK83">
        <v>0</v>
      </c>
    </row>
    <row r="84" spans="1:255" ht="12.75">
      <c r="A84" s="2">
        <v>17</v>
      </c>
      <c r="B84" s="2">
        <v>1</v>
      </c>
      <c r="C84" s="2">
        <f>ROW(SmtRes!A175)</f>
        <v>175</v>
      </c>
      <c r="D84" s="2">
        <f>ROW(EtalonRes!A187)</f>
        <v>187</v>
      </c>
      <c r="E84" s="2" t="s">
        <v>159</v>
      </c>
      <c r="F84" s="2" t="s">
        <v>160</v>
      </c>
      <c r="G84" s="2" t="s">
        <v>161</v>
      </c>
      <c r="H84" s="2" t="s">
        <v>150</v>
      </c>
      <c r="I84" s="2">
        <v>2</v>
      </c>
      <c r="J84" s="2">
        <v>0</v>
      </c>
      <c r="K84" s="2">
        <v>2</v>
      </c>
      <c r="L84" s="2"/>
      <c r="M84" s="2"/>
      <c r="N84" s="2"/>
      <c r="O84" s="2">
        <f t="shared" si="63"/>
        <v>219.2</v>
      </c>
      <c r="P84" s="2">
        <f t="shared" si="64"/>
        <v>4.72</v>
      </c>
      <c r="Q84" s="2">
        <f t="shared" si="65"/>
        <v>6.74</v>
      </c>
      <c r="R84" s="2">
        <f t="shared" si="66"/>
        <v>0.7</v>
      </c>
      <c r="S84" s="2">
        <f t="shared" si="67"/>
        <v>207.74</v>
      </c>
      <c r="T84" s="2">
        <f t="shared" si="68"/>
        <v>0</v>
      </c>
      <c r="U84" s="2">
        <f t="shared" si="69"/>
        <v>23.16</v>
      </c>
      <c r="V84" s="2">
        <f t="shared" si="70"/>
        <v>0.06</v>
      </c>
      <c r="W84" s="2">
        <f t="shared" si="71"/>
        <v>0</v>
      </c>
      <c r="X84" s="2">
        <f t="shared" si="72"/>
        <v>187.6</v>
      </c>
      <c r="Y84" s="2">
        <f t="shared" si="73"/>
        <v>95.88</v>
      </c>
      <c r="Z84" s="2"/>
      <c r="AA84" s="2">
        <v>55656218</v>
      </c>
      <c r="AB84" s="2">
        <f t="shared" si="74"/>
        <v>109.6</v>
      </c>
      <c r="AC84" s="2">
        <f t="shared" si="75"/>
        <v>2.36</v>
      </c>
      <c r="AD84" s="2">
        <f t="shared" si="105"/>
        <v>3.37</v>
      </c>
      <c r="AE84" s="2">
        <f t="shared" si="106"/>
        <v>0.35</v>
      </c>
      <c r="AF84" s="2">
        <f t="shared" si="107"/>
        <v>103.87</v>
      </c>
      <c r="AG84" s="2">
        <f t="shared" si="77"/>
        <v>0</v>
      </c>
      <c r="AH84" s="2">
        <f t="shared" si="108"/>
        <v>11.58</v>
      </c>
      <c r="AI84" s="2">
        <f t="shared" si="109"/>
        <v>0.03</v>
      </c>
      <c r="AJ84" s="2">
        <f t="shared" si="79"/>
        <v>0</v>
      </c>
      <c r="AK84" s="2">
        <v>109.6</v>
      </c>
      <c r="AL84" s="2">
        <v>2.36</v>
      </c>
      <c r="AM84" s="2">
        <v>3.37</v>
      </c>
      <c r="AN84" s="2">
        <v>0.35</v>
      </c>
      <c r="AO84" s="2">
        <v>103.87</v>
      </c>
      <c r="AP84" s="2">
        <v>0</v>
      </c>
      <c r="AQ84" s="2">
        <v>11.58</v>
      </c>
      <c r="AR84" s="2">
        <v>0.03</v>
      </c>
      <c r="AS84" s="2">
        <v>0</v>
      </c>
      <c r="AT84" s="2">
        <v>90</v>
      </c>
      <c r="AU84" s="2">
        <v>46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0</v>
      </c>
      <c r="BI84" s="2">
        <v>2</v>
      </c>
      <c r="BJ84" s="2" t="s">
        <v>162</v>
      </c>
      <c r="BK84" s="2"/>
      <c r="BL84" s="2"/>
      <c r="BM84" s="2">
        <v>110007</v>
      </c>
      <c r="BN84" s="2">
        <v>0</v>
      </c>
      <c r="BO84" s="2" t="s">
        <v>3</v>
      </c>
      <c r="BP84" s="2">
        <v>0</v>
      </c>
      <c r="BQ84" s="2">
        <v>3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90</v>
      </c>
      <c r="CA84" s="2">
        <v>46</v>
      </c>
      <c r="CB84" s="2" t="s">
        <v>3</v>
      </c>
      <c r="CC84" s="2"/>
      <c r="CD84" s="2"/>
      <c r="CE84" s="2">
        <v>0</v>
      </c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80"/>
        <v>219.20000000000002</v>
      </c>
      <c r="CQ84" s="2">
        <f t="shared" si="81"/>
        <v>2.36</v>
      </c>
      <c r="CR84" s="2">
        <f t="shared" si="110"/>
        <v>3.37</v>
      </c>
      <c r="CS84" s="2">
        <f t="shared" si="82"/>
        <v>0.35</v>
      </c>
      <c r="CT84" s="2">
        <f t="shared" si="83"/>
        <v>103.87</v>
      </c>
      <c r="CU84" s="2">
        <f t="shared" si="84"/>
        <v>0</v>
      </c>
      <c r="CV84" s="2">
        <f t="shared" si="85"/>
        <v>11.58</v>
      </c>
      <c r="CW84" s="2">
        <f t="shared" si="86"/>
        <v>0.03</v>
      </c>
      <c r="CX84" s="2">
        <f t="shared" si="87"/>
        <v>0</v>
      </c>
      <c r="CY84" s="2">
        <f t="shared" si="88"/>
        <v>187.59599999999998</v>
      </c>
      <c r="CZ84" s="2">
        <f t="shared" si="89"/>
        <v>95.8824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150</v>
      </c>
      <c r="DW84" s="2" t="s">
        <v>150</v>
      </c>
      <c r="DX84" s="2">
        <v>1</v>
      </c>
      <c r="DY84" s="2"/>
      <c r="DZ84" s="2" t="s">
        <v>3</v>
      </c>
      <c r="EA84" s="2" t="s">
        <v>3</v>
      </c>
      <c r="EB84" s="2" t="s">
        <v>3</v>
      </c>
      <c r="EC84" s="2" t="s">
        <v>3</v>
      </c>
      <c r="ED84" s="2"/>
      <c r="EE84" s="2">
        <v>55471563</v>
      </c>
      <c r="EF84" s="2">
        <v>3</v>
      </c>
      <c r="EG84" s="2" t="s">
        <v>163</v>
      </c>
      <c r="EH84" s="2">
        <v>0</v>
      </c>
      <c r="EI84" s="2" t="s">
        <v>3</v>
      </c>
      <c r="EJ84" s="2">
        <v>2</v>
      </c>
      <c r="EK84" s="2">
        <v>110007</v>
      </c>
      <c r="EL84" s="2" t="s">
        <v>164</v>
      </c>
      <c r="EM84" s="2" t="s">
        <v>165</v>
      </c>
      <c r="EN84" s="2"/>
      <c r="EO84" s="2" t="s">
        <v>3</v>
      </c>
      <c r="EP84" s="2"/>
      <c r="EQ84" s="2">
        <v>0</v>
      </c>
      <c r="ER84" s="2">
        <v>109.6</v>
      </c>
      <c r="ES84" s="2">
        <v>2.36</v>
      </c>
      <c r="ET84" s="2">
        <v>3.37</v>
      </c>
      <c r="EU84" s="2">
        <v>0.35</v>
      </c>
      <c r="EV84" s="2">
        <v>103.87</v>
      </c>
      <c r="EW84" s="2">
        <v>11.58</v>
      </c>
      <c r="EX84" s="2">
        <v>0.03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90"/>
        <v>0</v>
      </c>
      <c r="FS84" s="2">
        <v>0</v>
      </c>
      <c r="FT84" s="2"/>
      <c r="FU84" s="2"/>
      <c r="FV84" s="2"/>
      <c r="FW84" s="2"/>
      <c r="FX84" s="2">
        <v>90</v>
      </c>
      <c r="FY84" s="2">
        <v>46</v>
      </c>
      <c r="FZ84" s="2"/>
      <c r="GA84" s="2" t="s">
        <v>3</v>
      </c>
      <c r="GB84" s="2"/>
      <c r="GC84" s="2"/>
      <c r="GD84" s="2">
        <v>1</v>
      </c>
      <c r="GE84" s="2"/>
      <c r="GF84" s="2">
        <v>-1938138679</v>
      </c>
      <c r="GG84" s="2">
        <v>2</v>
      </c>
      <c r="GH84" s="2">
        <v>1</v>
      </c>
      <c r="GI84" s="2">
        <v>-2</v>
      </c>
      <c r="GJ84" s="2">
        <v>0</v>
      </c>
      <c r="GK84" s="2">
        <v>0</v>
      </c>
      <c r="GL84" s="2">
        <f t="shared" si="91"/>
        <v>0</v>
      </c>
      <c r="GM84" s="2">
        <f t="shared" si="92"/>
        <v>502.68</v>
      </c>
      <c r="GN84" s="2">
        <f t="shared" si="93"/>
        <v>0</v>
      </c>
      <c r="GO84" s="2">
        <f t="shared" si="94"/>
        <v>502.68</v>
      </c>
      <c r="GP84" s="2">
        <f t="shared" si="95"/>
        <v>0</v>
      </c>
      <c r="GQ84" s="2"/>
      <c r="GR84" s="2">
        <v>0</v>
      </c>
      <c r="GS84" s="2">
        <v>3</v>
      </c>
      <c r="GT84" s="2">
        <v>0</v>
      </c>
      <c r="GU84" s="2" t="s">
        <v>3</v>
      </c>
      <c r="GV84" s="2">
        <f t="shared" si="96"/>
        <v>0</v>
      </c>
      <c r="GW84" s="2">
        <v>1</v>
      </c>
      <c r="GX84" s="2">
        <f t="shared" si="97"/>
        <v>0</v>
      </c>
      <c r="GY84" s="2"/>
      <c r="GZ84" s="2"/>
      <c r="HA84" s="2">
        <v>0</v>
      </c>
      <c r="HB84" s="2">
        <v>0</v>
      </c>
      <c r="HC84" s="2">
        <f t="shared" si="98"/>
        <v>0</v>
      </c>
      <c r="HD84" s="2"/>
      <c r="HE84" s="2" t="s">
        <v>3</v>
      </c>
      <c r="HF84" s="2" t="s">
        <v>3</v>
      </c>
      <c r="HG84" s="2"/>
      <c r="HH84" s="2"/>
      <c r="HI84" s="2"/>
      <c r="HJ84" s="2"/>
      <c r="HK84" s="2"/>
      <c r="HL84" s="2"/>
      <c r="HM84" s="2" t="s">
        <v>3</v>
      </c>
      <c r="HN84" s="2" t="s">
        <v>166</v>
      </c>
      <c r="HO84" s="2" t="s">
        <v>167</v>
      </c>
      <c r="HP84" s="2" t="s">
        <v>168</v>
      </c>
      <c r="HQ84" s="2" t="s">
        <v>168</v>
      </c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45" ht="12.75">
      <c r="A85">
        <v>17</v>
      </c>
      <c r="B85">
        <v>1</v>
      </c>
      <c r="C85">
        <f>ROW(SmtRes!A182)</f>
        <v>182</v>
      </c>
      <c r="D85">
        <f>ROW(EtalonRes!A192)</f>
        <v>192</v>
      </c>
      <c r="E85" t="s">
        <v>159</v>
      </c>
      <c r="F85" t="s">
        <v>160</v>
      </c>
      <c r="G85" t="s">
        <v>161</v>
      </c>
      <c r="H85" t="s">
        <v>150</v>
      </c>
      <c r="I85">
        <v>2</v>
      </c>
      <c r="J85">
        <v>0</v>
      </c>
      <c r="K85">
        <v>2</v>
      </c>
      <c r="O85">
        <f t="shared" si="63"/>
        <v>7877.97</v>
      </c>
      <c r="P85">
        <f t="shared" si="64"/>
        <v>31.72</v>
      </c>
      <c r="Q85">
        <f t="shared" si="65"/>
        <v>89.24</v>
      </c>
      <c r="R85">
        <f t="shared" si="66"/>
        <v>26.14</v>
      </c>
      <c r="S85">
        <f t="shared" si="67"/>
        <v>7757.01</v>
      </c>
      <c r="T85">
        <f t="shared" si="68"/>
        <v>0</v>
      </c>
      <c r="U85">
        <f t="shared" si="69"/>
        <v>23.16</v>
      </c>
      <c r="V85">
        <f t="shared" si="70"/>
        <v>0.06</v>
      </c>
      <c r="W85">
        <f t="shared" si="71"/>
        <v>0</v>
      </c>
      <c r="X85">
        <f t="shared" si="72"/>
        <v>7004.84</v>
      </c>
      <c r="Y85">
        <f t="shared" si="73"/>
        <v>3580.25</v>
      </c>
      <c r="AA85">
        <v>55657272</v>
      </c>
      <c r="AB85">
        <f t="shared" si="74"/>
        <v>109.6</v>
      </c>
      <c r="AC85">
        <f t="shared" si="75"/>
        <v>2.36</v>
      </c>
      <c r="AD85">
        <f t="shared" si="105"/>
        <v>3.37</v>
      </c>
      <c r="AE85">
        <f t="shared" si="106"/>
        <v>0.35</v>
      </c>
      <c r="AF85">
        <f t="shared" si="107"/>
        <v>103.87</v>
      </c>
      <c r="AG85">
        <f t="shared" si="77"/>
        <v>0</v>
      </c>
      <c r="AH85">
        <f t="shared" si="108"/>
        <v>11.58</v>
      </c>
      <c r="AI85">
        <f t="shared" si="109"/>
        <v>0.03</v>
      </c>
      <c r="AJ85">
        <f t="shared" si="79"/>
        <v>0</v>
      </c>
      <c r="AK85">
        <v>109.6</v>
      </c>
      <c r="AL85">
        <v>2.36</v>
      </c>
      <c r="AM85">
        <v>3.37</v>
      </c>
      <c r="AN85">
        <v>0.35</v>
      </c>
      <c r="AO85">
        <v>103.87</v>
      </c>
      <c r="AP85">
        <v>0</v>
      </c>
      <c r="AQ85">
        <v>11.58</v>
      </c>
      <c r="AR85">
        <v>0.03</v>
      </c>
      <c r="AS85">
        <v>0</v>
      </c>
      <c r="AT85">
        <v>90</v>
      </c>
      <c r="AU85">
        <v>46</v>
      </c>
      <c r="AV85">
        <v>1</v>
      </c>
      <c r="AW85">
        <v>1</v>
      </c>
      <c r="AZ85">
        <v>1</v>
      </c>
      <c r="BA85">
        <v>37.34</v>
      </c>
      <c r="BB85">
        <v>13.24</v>
      </c>
      <c r="BC85">
        <v>6.72</v>
      </c>
      <c r="BH85">
        <v>0</v>
      </c>
      <c r="BI85">
        <v>2</v>
      </c>
      <c r="BJ85" t="s">
        <v>162</v>
      </c>
      <c r="BM85">
        <v>110007</v>
      </c>
      <c r="BN85">
        <v>0</v>
      </c>
      <c r="BO85" t="s">
        <v>37</v>
      </c>
      <c r="BP85">
        <v>1</v>
      </c>
      <c r="BQ85">
        <v>3</v>
      </c>
      <c r="BR85">
        <v>0</v>
      </c>
      <c r="BS85">
        <v>37.34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90</v>
      </c>
      <c r="CA85">
        <v>46</v>
      </c>
      <c r="CE85">
        <v>0</v>
      </c>
      <c r="CF85">
        <v>0</v>
      </c>
      <c r="CG85">
        <v>0</v>
      </c>
      <c r="CM85">
        <v>0</v>
      </c>
      <c r="CO85">
        <v>0</v>
      </c>
      <c r="CP85">
        <f t="shared" si="80"/>
        <v>7877.97</v>
      </c>
      <c r="CQ85">
        <f t="shared" si="81"/>
        <v>15.859199999999998</v>
      </c>
      <c r="CR85">
        <f t="shared" si="110"/>
        <v>44.6188</v>
      </c>
      <c r="CS85">
        <f t="shared" si="82"/>
        <v>13.069</v>
      </c>
      <c r="CT85">
        <f t="shared" si="83"/>
        <v>3878.5058000000004</v>
      </c>
      <c r="CU85">
        <f t="shared" si="84"/>
        <v>0</v>
      </c>
      <c r="CV85">
        <f t="shared" si="85"/>
        <v>11.58</v>
      </c>
      <c r="CW85">
        <f t="shared" si="86"/>
        <v>0.03</v>
      </c>
      <c r="CX85">
        <f t="shared" si="87"/>
        <v>0</v>
      </c>
      <c r="CY85">
        <f t="shared" si="88"/>
        <v>7004.835</v>
      </c>
      <c r="CZ85">
        <f t="shared" si="89"/>
        <v>3580.2490000000003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150</v>
      </c>
      <c r="DW85" t="s">
        <v>150</v>
      </c>
      <c r="DX85">
        <v>1</v>
      </c>
      <c r="EE85">
        <v>55471563</v>
      </c>
      <c r="EF85">
        <v>3</v>
      </c>
      <c r="EG85" t="s">
        <v>163</v>
      </c>
      <c r="EH85">
        <v>0</v>
      </c>
      <c r="EJ85">
        <v>2</v>
      </c>
      <c r="EK85">
        <v>110007</v>
      </c>
      <c r="EL85" t="s">
        <v>164</v>
      </c>
      <c r="EM85" t="s">
        <v>165</v>
      </c>
      <c r="EQ85">
        <v>0</v>
      </c>
      <c r="ER85">
        <v>109.6</v>
      </c>
      <c r="ES85">
        <v>2.36</v>
      </c>
      <c r="ET85">
        <v>3.37</v>
      </c>
      <c r="EU85">
        <v>0.35</v>
      </c>
      <c r="EV85">
        <v>103.87</v>
      </c>
      <c r="EW85">
        <v>11.58</v>
      </c>
      <c r="EX85">
        <v>0.03</v>
      </c>
      <c r="EY85">
        <v>0</v>
      </c>
      <c r="FQ85">
        <v>0</v>
      </c>
      <c r="FR85">
        <f t="shared" si="90"/>
        <v>0</v>
      </c>
      <c r="FS85">
        <v>0</v>
      </c>
      <c r="FX85">
        <v>90</v>
      </c>
      <c r="FY85">
        <v>46</v>
      </c>
      <c r="GD85">
        <v>1</v>
      </c>
      <c r="GF85">
        <v>-1938138679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91"/>
        <v>0</v>
      </c>
      <c r="GM85">
        <f t="shared" si="92"/>
        <v>18463.06</v>
      </c>
      <c r="GN85">
        <f t="shared" si="93"/>
        <v>0</v>
      </c>
      <c r="GO85">
        <f t="shared" si="94"/>
        <v>18463.06</v>
      </c>
      <c r="GP85">
        <f t="shared" si="95"/>
        <v>0</v>
      </c>
      <c r="GR85">
        <v>0</v>
      </c>
      <c r="GS85">
        <v>3</v>
      </c>
      <c r="GT85">
        <v>0</v>
      </c>
      <c r="GV85">
        <f t="shared" si="96"/>
        <v>0</v>
      </c>
      <c r="GW85">
        <v>1</v>
      </c>
      <c r="GX85">
        <f t="shared" si="97"/>
        <v>0</v>
      </c>
      <c r="HA85">
        <v>0</v>
      </c>
      <c r="HB85">
        <v>0</v>
      </c>
      <c r="HC85">
        <f t="shared" si="98"/>
        <v>0</v>
      </c>
      <c r="HN85" t="s">
        <v>166</v>
      </c>
      <c r="HO85" t="s">
        <v>167</v>
      </c>
      <c r="HP85" t="s">
        <v>168</v>
      </c>
      <c r="HQ85" t="s">
        <v>168</v>
      </c>
      <c r="IK85">
        <v>0</v>
      </c>
    </row>
    <row r="86" spans="1:255" ht="12.75">
      <c r="A86" s="2">
        <v>18</v>
      </c>
      <c r="B86" s="2">
        <v>1</v>
      </c>
      <c r="C86" s="2">
        <v>174</v>
      </c>
      <c r="D86" s="2"/>
      <c r="E86" s="2" t="s">
        <v>169</v>
      </c>
      <c r="F86" s="2" t="s">
        <v>144</v>
      </c>
      <c r="G86" s="2" t="s">
        <v>476</v>
      </c>
      <c r="H86" s="2" t="s">
        <v>170</v>
      </c>
      <c r="I86" s="2">
        <f>I84*J86</f>
        <v>1</v>
      </c>
      <c r="J86" s="2">
        <v>0.5</v>
      </c>
      <c r="K86" s="2">
        <v>0.5</v>
      </c>
      <c r="L86" s="2"/>
      <c r="M86" s="2"/>
      <c r="N86" s="2"/>
      <c r="O86" s="2">
        <f t="shared" si="63"/>
        <v>489550</v>
      </c>
      <c r="P86" s="2">
        <f t="shared" si="64"/>
        <v>489550</v>
      </c>
      <c r="Q86" s="2">
        <f t="shared" si="65"/>
        <v>0</v>
      </c>
      <c r="R86" s="2">
        <f t="shared" si="66"/>
        <v>0</v>
      </c>
      <c r="S86" s="2">
        <f t="shared" si="67"/>
        <v>0</v>
      </c>
      <c r="T86" s="2">
        <f t="shared" si="68"/>
        <v>0</v>
      </c>
      <c r="U86" s="2">
        <f t="shared" si="69"/>
        <v>0</v>
      </c>
      <c r="V86" s="2">
        <f t="shared" si="70"/>
        <v>0</v>
      </c>
      <c r="W86" s="2">
        <f t="shared" si="71"/>
        <v>0</v>
      </c>
      <c r="X86" s="2">
        <f t="shared" si="72"/>
        <v>0</v>
      </c>
      <c r="Y86" s="2">
        <f t="shared" si="73"/>
        <v>0</v>
      </c>
      <c r="Z86" s="2"/>
      <c r="AA86" s="2">
        <v>55656218</v>
      </c>
      <c r="AB86" s="2">
        <f t="shared" si="74"/>
        <v>489550</v>
      </c>
      <c r="AC86" s="2">
        <f t="shared" si="75"/>
        <v>489550</v>
      </c>
      <c r="AD86" s="2">
        <f t="shared" si="105"/>
        <v>0</v>
      </c>
      <c r="AE86" s="2">
        <f t="shared" si="106"/>
        <v>0</v>
      </c>
      <c r="AF86" s="2">
        <f t="shared" si="107"/>
        <v>0</v>
      </c>
      <c r="AG86" s="2">
        <f t="shared" si="77"/>
        <v>0</v>
      </c>
      <c r="AH86" s="2">
        <f t="shared" si="108"/>
        <v>0</v>
      </c>
      <c r="AI86" s="2">
        <f t="shared" si="109"/>
        <v>0</v>
      </c>
      <c r="AJ86" s="2">
        <f t="shared" si="79"/>
        <v>0</v>
      </c>
      <c r="AK86" s="2">
        <v>489550</v>
      </c>
      <c r="AL86" s="2">
        <v>489550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90</v>
      </c>
      <c r="AU86" s="2">
        <v>46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2</v>
      </c>
      <c r="BJ86" s="2" t="s">
        <v>3</v>
      </c>
      <c r="BK86" s="2"/>
      <c r="BL86" s="2"/>
      <c r="BM86" s="2">
        <v>110007</v>
      </c>
      <c r="BN86" s="2">
        <v>0</v>
      </c>
      <c r="BO86" s="2" t="s">
        <v>3</v>
      </c>
      <c r="BP86" s="2">
        <v>0</v>
      </c>
      <c r="BQ86" s="2">
        <v>3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90</v>
      </c>
      <c r="CA86" s="2">
        <v>46</v>
      </c>
      <c r="CB86" s="2" t="s">
        <v>3</v>
      </c>
      <c r="CC86" s="2"/>
      <c r="CD86" s="2"/>
      <c r="CE86" s="2">
        <v>0</v>
      </c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80"/>
        <v>489550</v>
      </c>
      <c r="CQ86" s="2">
        <f t="shared" si="81"/>
        <v>489550</v>
      </c>
      <c r="CR86" s="2">
        <f t="shared" si="110"/>
        <v>0</v>
      </c>
      <c r="CS86" s="2">
        <f t="shared" si="82"/>
        <v>0</v>
      </c>
      <c r="CT86" s="2">
        <f t="shared" si="83"/>
        <v>0</v>
      </c>
      <c r="CU86" s="2">
        <f t="shared" si="84"/>
        <v>0</v>
      </c>
      <c r="CV86" s="2">
        <f t="shared" si="85"/>
        <v>0</v>
      </c>
      <c r="CW86" s="2">
        <f t="shared" si="86"/>
        <v>0</v>
      </c>
      <c r="CX86" s="2">
        <f t="shared" si="87"/>
        <v>0</v>
      </c>
      <c r="CY86" s="2">
        <f t="shared" si="88"/>
        <v>0</v>
      </c>
      <c r="CZ86" s="2">
        <f t="shared" si="89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1013</v>
      </c>
      <c r="DV86" s="2" t="s">
        <v>170</v>
      </c>
      <c r="DW86" s="2" t="s">
        <v>170</v>
      </c>
      <c r="DX86" s="2">
        <v>1</v>
      </c>
      <c r="DY86" s="2"/>
      <c r="DZ86" s="2" t="s">
        <v>3</v>
      </c>
      <c r="EA86" s="2" t="s">
        <v>3</v>
      </c>
      <c r="EB86" s="2" t="s">
        <v>3</v>
      </c>
      <c r="EC86" s="2" t="s">
        <v>3</v>
      </c>
      <c r="ED86" s="2"/>
      <c r="EE86" s="2">
        <v>55471563</v>
      </c>
      <c r="EF86" s="2">
        <v>3</v>
      </c>
      <c r="EG86" s="2" t="s">
        <v>163</v>
      </c>
      <c r="EH86" s="2">
        <v>0</v>
      </c>
      <c r="EI86" s="2" t="s">
        <v>3</v>
      </c>
      <c r="EJ86" s="2">
        <v>2</v>
      </c>
      <c r="EK86" s="2">
        <v>110007</v>
      </c>
      <c r="EL86" s="2" t="s">
        <v>164</v>
      </c>
      <c r="EM86" s="2" t="s">
        <v>165</v>
      </c>
      <c r="EN86" s="2"/>
      <c r="EO86" s="2" t="s">
        <v>3</v>
      </c>
      <c r="EP86" s="2"/>
      <c r="EQ86" s="2">
        <v>0</v>
      </c>
      <c r="ER86" s="2">
        <v>0</v>
      </c>
      <c r="ES86" s="2">
        <v>489550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90"/>
        <v>0</v>
      </c>
      <c r="FS86" s="2">
        <v>0</v>
      </c>
      <c r="FT86" s="2"/>
      <c r="FU86" s="2"/>
      <c r="FV86" s="2"/>
      <c r="FW86" s="2"/>
      <c r="FX86" s="2">
        <v>90</v>
      </c>
      <c r="FY86" s="2">
        <v>46</v>
      </c>
      <c r="FZ86" s="2"/>
      <c r="GA86" s="2" t="s">
        <v>147</v>
      </c>
      <c r="GB86" s="2"/>
      <c r="GC86" s="2"/>
      <c r="GD86" s="2">
        <v>1</v>
      </c>
      <c r="GE86" s="2"/>
      <c r="GF86" s="2">
        <v>1921063532</v>
      </c>
      <c r="GG86" s="2">
        <v>2</v>
      </c>
      <c r="GH86" s="2">
        <v>4</v>
      </c>
      <c r="GI86" s="2">
        <v>-2</v>
      </c>
      <c r="GJ86" s="2">
        <v>0</v>
      </c>
      <c r="GK86" s="2">
        <v>0</v>
      </c>
      <c r="GL86" s="2">
        <f t="shared" si="91"/>
        <v>0</v>
      </c>
      <c r="GM86" s="2">
        <f t="shared" si="92"/>
        <v>489550</v>
      </c>
      <c r="GN86" s="2">
        <f t="shared" si="93"/>
        <v>0</v>
      </c>
      <c r="GO86" s="2">
        <f t="shared" si="94"/>
        <v>489550</v>
      </c>
      <c r="GP86" s="2">
        <f t="shared" si="95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6"/>
        <v>0</v>
      </c>
      <c r="GW86" s="2">
        <v>1</v>
      </c>
      <c r="GX86" s="2">
        <f t="shared" si="97"/>
        <v>0</v>
      </c>
      <c r="GY86" s="2"/>
      <c r="GZ86" s="2"/>
      <c r="HA86" s="2">
        <v>0</v>
      </c>
      <c r="HB86" s="2">
        <v>0</v>
      </c>
      <c r="HC86" s="2">
        <f t="shared" si="98"/>
        <v>0</v>
      </c>
      <c r="HD86" s="2"/>
      <c r="HE86" s="2" t="s">
        <v>3</v>
      </c>
      <c r="HF86" s="2" t="s">
        <v>3</v>
      </c>
      <c r="HG86" s="2"/>
      <c r="HH86" s="2"/>
      <c r="HI86" s="2"/>
      <c r="HJ86" s="2"/>
      <c r="HK86" s="2"/>
      <c r="HL86" s="2"/>
      <c r="HM86" s="2" t="s">
        <v>3</v>
      </c>
      <c r="HN86" s="2" t="s">
        <v>166</v>
      </c>
      <c r="HO86" s="2" t="s">
        <v>167</v>
      </c>
      <c r="HP86" s="2" t="s">
        <v>168</v>
      </c>
      <c r="HQ86" s="2" t="s">
        <v>168</v>
      </c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45" ht="12.75">
      <c r="A87">
        <v>18</v>
      </c>
      <c r="B87">
        <v>1</v>
      </c>
      <c r="C87">
        <v>181</v>
      </c>
      <c r="E87" t="s">
        <v>169</v>
      </c>
      <c r="F87" t="s">
        <v>144</v>
      </c>
      <c r="G87" t="s">
        <v>476</v>
      </c>
      <c r="H87" t="s">
        <v>170</v>
      </c>
      <c r="I87">
        <f>I85*J87</f>
        <v>1</v>
      </c>
      <c r="J87">
        <v>0.5</v>
      </c>
      <c r="K87">
        <v>0.5</v>
      </c>
      <c r="O87">
        <f t="shared" si="63"/>
        <v>489550</v>
      </c>
      <c r="P87">
        <f t="shared" si="64"/>
        <v>489550</v>
      </c>
      <c r="Q87">
        <f t="shared" si="65"/>
        <v>0</v>
      </c>
      <c r="R87">
        <f t="shared" si="66"/>
        <v>0</v>
      </c>
      <c r="S87">
        <f t="shared" si="67"/>
        <v>0</v>
      </c>
      <c r="T87">
        <f t="shared" si="68"/>
        <v>0</v>
      </c>
      <c r="U87">
        <f t="shared" si="69"/>
        <v>0</v>
      </c>
      <c r="V87">
        <f t="shared" si="70"/>
        <v>0</v>
      </c>
      <c r="W87">
        <f t="shared" si="71"/>
        <v>0</v>
      </c>
      <c r="X87">
        <f t="shared" si="72"/>
        <v>0</v>
      </c>
      <c r="Y87">
        <f t="shared" si="73"/>
        <v>0</v>
      </c>
      <c r="AA87">
        <v>55657272</v>
      </c>
      <c r="AB87">
        <f t="shared" si="74"/>
        <v>489550</v>
      </c>
      <c r="AC87">
        <f t="shared" si="75"/>
        <v>489550</v>
      </c>
      <c r="AD87">
        <f t="shared" si="105"/>
        <v>0</v>
      </c>
      <c r="AE87">
        <f t="shared" si="106"/>
        <v>0</v>
      </c>
      <c r="AF87">
        <f t="shared" si="107"/>
        <v>0</v>
      </c>
      <c r="AG87">
        <f t="shared" si="77"/>
        <v>0</v>
      </c>
      <c r="AH87">
        <f t="shared" si="108"/>
        <v>0</v>
      </c>
      <c r="AI87">
        <f t="shared" si="109"/>
        <v>0</v>
      </c>
      <c r="AJ87">
        <f t="shared" si="79"/>
        <v>0</v>
      </c>
      <c r="AK87">
        <v>489550</v>
      </c>
      <c r="AL87">
        <v>489550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46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</v>
      </c>
      <c r="BH87">
        <v>3</v>
      </c>
      <c r="BI87">
        <v>2</v>
      </c>
      <c r="BM87">
        <v>110007</v>
      </c>
      <c r="BN87">
        <v>0</v>
      </c>
      <c r="BP87">
        <v>0</v>
      </c>
      <c r="BQ87">
        <v>3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90</v>
      </c>
      <c r="CA87">
        <v>46</v>
      </c>
      <c r="CE87">
        <v>0</v>
      </c>
      <c r="CF87">
        <v>0</v>
      </c>
      <c r="CG87">
        <v>0</v>
      </c>
      <c r="CM87">
        <v>0</v>
      </c>
      <c r="CO87">
        <v>0</v>
      </c>
      <c r="CP87">
        <f t="shared" si="80"/>
        <v>489550</v>
      </c>
      <c r="CQ87">
        <f t="shared" si="81"/>
        <v>489550</v>
      </c>
      <c r="CR87">
        <f t="shared" si="110"/>
        <v>0</v>
      </c>
      <c r="CS87">
        <f t="shared" si="82"/>
        <v>0</v>
      </c>
      <c r="CT87">
        <f t="shared" si="83"/>
        <v>0</v>
      </c>
      <c r="CU87">
        <f t="shared" si="84"/>
        <v>0</v>
      </c>
      <c r="CV87">
        <f t="shared" si="85"/>
        <v>0</v>
      </c>
      <c r="CW87">
        <f t="shared" si="86"/>
        <v>0</v>
      </c>
      <c r="CX87">
        <f t="shared" si="87"/>
        <v>0</v>
      </c>
      <c r="CY87">
        <f t="shared" si="88"/>
        <v>0</v>
      </c>
      <c r="CZ87">
        <f t="shared" si="89"/>
        <v>0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170</v>
      </c>
      <c r="DW87" t="s">
        <v>170</v>
      </c>
      <c r="DX87">
        <v>1</v>
      </c>
      <c r="EE87">
        <v>55471563</v>
      </c>
      <c r="EF87">
        <v>3</v>
      </c>
      <c r="EG87" t="s">
        <v>163</v>
      </c>
      <c r="EH87">
        <v>0</v>
      </c>
      <c r="EJ87">
        <v>2</v>
      </c>
      <c r="EK87">
        <v>110007</v>
      </c>
      <c r="EL87" t="s">
        <v>164</v>
      </c>
      <c r="EM87" t="s">
        <v>165</v>
      </c>
      <c r="EQ87">
        <v>0</v>
      </c>
      <c r="ER87">
        <v>0</v>
      </c>
      <c r="ES87">
        <v>489550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90"/>
        <v>0</v>
      </c>
      <c r="FS87">
        <v>0</v>
      </c>
      <c r="FX87">
        <v>90</v>
      </c>
      <c r="FY87">
        <v>46</v>
      </c>
      <c r="GA87" t="s">
        <v>147</v>
      </c>
      <c r="GD87">
        <v>1</v>
      </c>
      <c r="GF87">
        <v>1921063532</v>
      </c>
      <c r="GG87">
        <v>2</v>
      </c>
      <c r="GH87">
        <v>2</v>
      </c>
      <c r="GI87">
        <v>3</v>
      </c>
      <c r="GJ87">
        <v>0</v>
      </c>
      <c r="GK87">
        <v>0</v>
      </c>
      <c r="GL87">
        <f t="shared" si="91"/>
        <v>0</v>
      </c>
      <c r="GM87">
        <f t="shared" si="92"/>
        <v>489550</v>
      </c>
      <c r="GN87">
        <f t="shared" si="93"/>
        <v>0</v>
      </c>
      <c r="GO87">
        <f t="shared" si="94"/>
        <v>489550</v>
      </c>
      <c r="GP87">
        <f t="shared" si="95"/>
        <v>0</v>
      </c>
      <c r="GR87">
        <v>0</v>
      </c>
      <c r="GS87">
        <v>4</v>
      </c>
      <c r="GT87">
        <v>0</v>
      </c>
      <c r="GV87">
        <f t="shared" si="96"/>
        <v>0</v>
      </c>
      <c r="GW87">
        <v>1</v>
      </c>
      <c r="GX87">
        <f t="shared" si="97"/>
        <v>0</v>
      </c>
      <c r="HA87">
        <v>0</v>
      </c>
      <c r="HB87">
        <v>0</v>
      </c>
      <c r="HC87">
        <f t="shared" si="98"/>
        <v>0</v>
      </c>
      <c r="HN87" t="s">
        <v>166</v>
      </c>
      <c r="HO87" t="s">
        <v>167</v>
      </c>
      <c r="HP87" t="s">
        <v>168</v>
      </c>
      <c r="HQ87" t="s">
        <v>168</v>
      </c>
      <c r="IK87">
        <v>0</v>
      </c>
    </row>
    <row r="88" spans="1:255" ht="12.75">
      <c r="A88" s="2">
        <v>18</v>
      </c>
      <c r="B88" s="2">
        <v>1</v>
      </c>
      <c r="C88" s="2">
        <v>175</v>
      </c>
      <c r="D88" s="2"/>
      <c r="E88" s="2" t="s">
        <v>171</v>
      </c>
      <c r="F88" s="2" t="s">
        <v>144</v>
      </c>
      <c r="G88" s="2" t="s">
        <v>477</v>
      </c>
      <c r="H88" s="2" t="s">
        <v>170</v>
      </c>
      <c r="I88" s="2">
        <f>I84*J88</f>
        <v>1</v>
      </c>
      <c r="J88" s="2">
        <v>0.5</v>
      </c>
      <c r="K88" s="2">
        <v>0.5</v>
      </c>
      <c r="L88" s="2"/>
      <c r="M88" s="2"/>
      <c r="N88" s="2"/>
      <c r="O88" s="2">
        <f t="shared" si="63"/>
        <v>469625</v>
      </c>
      <c r="P88" s="2">
        <f t="shared" si="64"/>
        <v>469625</v>
      </c>
      <c r="Q88" s="2">
        <f t="shared" si="65"/>
        <v>0</v>
      </c>
      <c r="R88" s="2">
        <f t="shared" si="66"/>
        <v>0</v>
      </c>
      <c r="S88" s="2">
        <f t="shared" si="67"/>
        <v>0</v>
      </c>
      <c r="T88" s="2">
        <f t="shared" si="68"/>
        <v>0</v>
      </c>
      <c r="U88" s="2">
        <f t="shared" si="69"/>
        <v>0</v>
      </c>
      <c r="V88" s="2">
        <f t="shared" si="70"/>
        <v>0</v>
      </c>
      <c r="W88" s="2">
        <f t="shared" si="71"/>
        <v>0</v>
      </c>
      <c r="X88" s="2">
        <f t="shared" si="72"/>
        <v>0</v>
      </c>
      <c r="Y88" s="2">
        <f t="shared" si="73"/>
        <v>0</v>
      </c>
      <c r="Z88" s="2"/>
      <c r="AA88" s="2">
        <v>55656218</v>
      </c>
      <c r="AB88" s="2">
        <f t="shared" si="74"/>
        <v>469625</v>
      </c>
      <c r="AC88" s="2">
        <f t="shared" si="75"/>
        <v>469625</v>
      </c>
      <c r="AD88" s="2">
        <f t="shared" si="105"/>
        <v>0</v>
      </c>
      <c r="AE88" s="2">
        <f t="shared" si="106"/>
        <v>0</v>
      </c>
      <c r="AF88" s="2">
        <f t="shared" si="107"/>
        <v>0</v>
      </c>
      <c r="AG88" s="2">
        <f t="shared" si="77"/>
        <v>0</v>
      </c>
      <c r="AH88" s="2">
        <f t="shared" si="108"/>
        <v>0</v>
      </c>
      <c r="AI88" s="2">
        <f t="shared" si="109"/>
        <v>0</v>
      </c>
      <c r="AJ88" s="2">
        <f t="shared" si="79"/>
        <v>0</v>
      </c>
      <c r="AK88" s="2">
        <v>469625</v>
      </c>
      <c r="AL88" s="2">
        <v>469625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90</v>
      </c>
      <c r="AU88" s="2">
        <v>46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2</v>
      </c>
      <c r="BJ88" s="2" t="s">
        <v>3</v>
      </c>
      <c r="BK88" s="2"/>
      <c r="BL88" s="2"/>
      <c r="BM88" s="2">
        <v>110007</v>
      </c>
      <c r="BN88" s="2">
        <v>0</v>
      </c>
      <c r="BO88" s="2" t="s">
        <v>3</v>
      </c>
      <c r="BP88" s="2">
        <v>0</v>
      </c>
      <c r="BQ88" s="2">
        <v>3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90</v>
      </c>
      <c r="CA88" s="2">
        <v>46</v>
      </c>
      <c r="CB88" s="2" t="s">
        <v>3</v>
      </c>
      <c r="CC88" s="2"/>
      <c r="CD88" s="2"/>
      <c r="CE88" s="2">
        <v>0</v>
      </c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si="80"/>
        <v>469625</v>
      </c>
      <c r="CQ88" s="2">
        <f t="shared" si="81"/>
        <v>469625</v>
      </c>
      <c r="CR88" s="2">
        <f t="shared" si="110"/>
        <v>0</v>
      </c>
      <c r="CS88" s="2">
        <f t="shared" si="82"/>
        <v>0</v>
      </c>
      <c r="CT88" s="2">
        <f t="shared" si="83"/>
        <v>0</v>
      </c>
      <c r="CU88" s="2">
        <f t="shared" si="84"/>
        <v>0</v>
      </c>
      <c r="CV88" s="2">
        <f t="shared" si="85"/>
        <v>0</v>
      </c>
      <c r="CW88" s="2">
        <f t="shared" si="86"/>
        <v>0</v>
      </c>
      <c r="CX88" s="2">
        <f t="shared" si="87"/>
        <v>0</v>
      </c>
      <c r="CY88" s="2">
        <f t="shared" si="88"/>
        <v>0</v>
      </c>
      <c r="CZ88" s="2">
        <f t="shared" si="89"/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1013</v>
      </c>
      <c r="DV88" s="2" t="s">
        <v>170</v>
      </c>
      <c r="DW88" s="2" t="s">
        <v>170</v>
      </c>
      <c r="DX88" s="2">
        <v>1</v>
      </c>
      <c r="DY88" s="2"/>
      <c r="DZ88" s="2" t="s">
        <v>3</v>
      </c>
      <c r="EA88" s="2" t="s">
        <v>3</v>
      </c>
      <c r="EB88" s="2" t="s">
        <v>3</v>
      </c>
      <c r="EC88" s="2" t="s">
        <v>3</v>
      </c>
      <c r="ED88" s="2"/>
      <c r="EE88" s="2">
        <v>55471563</v>
      </c>
      <c r="EF88" s="2">
        <v>3</v>
      </c>
      <c r="EG88" s="2" t="s">
        <v>163</v>
      </c>
      <c r="EH88" s="2">
        <v>0</v>
      </c>
      <c r="EI88" s="2" t="s">
        <v>3</v>
      </c>
      <c r="EJ88" s="2">
        <v>2</v>
      </c>
      <c r="EK88" s="2">
        <v>110007</v>
      </c>
      <c r="EL88" s="2" t="s">
        <v>164</v>
      </c>
      <c r="EM88" s="2" t="s">
        <v>165</v>
      </c>
      <c r="EN88" s="2"/>
      <c r="EO88" s="2" t="s">
        <v>3</v>
      </c>
      <c r="EP88" s="2"/>
      <c r="EQ88" s="2">
        <v>0</v>
      </c>
      <c r="ER88" s="2">
        <v>0</v>
      </c>
      <c r="ES88" s="2">
        <v>469625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si="90"/>
        <v>0</v>
      </c>
      <c r="FS88" s="2">
        <v>0</v>
      </c>
      <c r="FT88" s="2"/>
      <c r="FU88" s="2"/>
      <c r="FV88" s="2"/>
      <c r="FW88" s="2"/>
      <c r="FX88" s="2">
        <v>90</v>
      </c>
      <c r="FY88" s="2">
        <v>46</v>
      </c>
      <c r="FZ88" s="2"/>
      <c r="GA88" s="2" t="s">
        <v>147</v>
      </c>
      <c r="GB88" s="2"/>
      <c r="GC88" s="2"/>
      <c r="GD88" s="2">
        <v>1</v>
      </c>
      <c r="GE88" s="2"/>
      <c r="GF88" s="2">
        <v>1590626601</v>
      </c>
      <c r="GG88" s="2">
        <v>2</v>
      </c>
      <c r="GH88" s="2">
        <v>4</v>
      </c>
      <c r="GI88" s="2">
        <v>-2</v>
      </c>
      <c r="GJ88" s="2">
        <v>0</v>
      </c>
      <c r="GK88" s="2">
        <v>0</v>
      </c>
      <c r="GL88" s="2">
        <f t="shared" si="91"/>
        <v>0</v>
      </c>
      <c r="GM88" s="2">
        <f t="shared" si="92"/>
        <v>469625</v>
      </c>
      <c r="GN88" s="2">
        <f t="shared" si="93"/>
        <v>0</v>
      </c>
      <c r="GO88" s="2">
        <f t="shared" si="94"/>
        <v>469625</v>
      </c>
      <c r="GP88" s="2">
        <f t="shared" si="95"/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si="96"/>
        <v>0</v>
      </c>
      <c r="GW88" s="2">
        <v>1</v>
      </c>
      <c r="GX88" s="2">
        <f t="shared" si="97"/>
        <v>0</v>
      </c>
      <c r="GY88" s="2"/>
      <c r="GZ88" s="2"/>
      <c r="HA88" s="2">
        <v>0</v>
      </c>
      <c r="HB88" s="2">
        <v>0</v>
      </c>
      <c r="HC88" s="2">
        <f t="shared" si="98"/>
        <v>0</v>
      </c>
      <c r="HD88" s="2"/>
      <c r="HE88" s="2" t="s">
        <v>3</v>
      </c>
      <c r="HF88" s="2" t="s">
        <v>3</v>
      </c>
      <c r="HG88" s="2"/>
      <c r="HH88" s="2"/>
      <c r="HI88" s="2"/>
      <c r="HJ88" s="2"/>
      <c r="HK88" s="2"/>
      <c r="HL88" s="2"/>
      <c r="HM88" s="2" t="s">
        <v>3</v>
      </c>
      <c r="HN88" s="2" t="s">
        <v>166</v>
      </c>
      <c r="HO88" s="2" t="s">
        <v>167</v>
      </c>
      <c r="HP88" s="2" t="s">
        <v>168</v>
      </c>
      <c r="HQ88" s="2" t="s">
        <v>168</v>
      </c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45" ht="12.75">
      <c r="A89">
        <v>18</v>
      </c>
      <c r="B89">
        <v>1</v>
      </c>
      <c r="C89">
        <v>182</v>
      </c>
      <c r="E89" t="s">
        <v>171</v>
      </c>
      <c r="F89" t="s">
        <v>144</v>
      </c>
      <c r="G89" t="s">
        <v>477</v>
      </c>
      <c r="H89" t="s">
        <v>170</v>
      </c>
      <c r="I89">
        <f>I85*J89</f>
        <v>1</v>
      </c>
      <c r="J89">
        <v>0.5</v>
      </c>
      <c r="K89">
        <v>0.5</v>
      </c>
      <c r="O89">
        <f t="shared" si="63"/>
        <v>469625</v>
      </c>
      <c r="P89">
        <f t="shared" si="64"/>
        <v>469625</v>
      </c>
      <c r="Q89">
        <f t="shared" si="65"/>
        <v>0</v>
      </c>
      <c r="R89">
        <f t="shared" si="66"/>
        <v>0</v>
      </c>
      <c r="S89">
        <f t="shared" si="67"/>
        <v>0</v>
      </c>
      <c r="T89">
        <f t="shared" si="68"/>
        <v>0</v>
      </c>
      <c r="U89">
        <f t="shared" si="69"/>
        <v>0</v>
      </c>
      <c r="V89">
        <f t="shared" si="70"/>
        <v>0</v>
      </c>
      <c r="W89">
        <f t="shared" si="71"/>
        <v>0</v>
      </c>
      <c r="X89">
        <f t="shared" si="72"/>
        <v>0</v>
      </c>
      <c r="Y89">
        <f t="shared" si="73"/>
        <v>0</v>
      </c>
      <c r="AA89">
        <v>55657272</v>
      </c>
      <c r="AB89">
        <f t="shared" si="74"/>
        <v>469625</v>
      </c>
      <c r="AC89">
        <f t="shared" si="75"/>
        <v>469625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77"/>
        <v>0</v>
      </c>
      <c r="AH89">
        <f t="shared" si="108"/>
        <v>0</v>
      </c>
      <c r="AI89">
        <f t="shared" si="109"/>
        <v>0</v>
      </c>
      <c r="AJ89">
        <f t="shared" si="79"/>
        <v>0</v>
      </c>
      <c r="AK89">
        <v>469625</v>
      </c>
      <c r="AL89">
        <v>469625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90</v>
      </c>
      <c r="AU89">
        <v>46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1</v>
      </c>
      <c r="BH89">
        <v>3</v>
      </c>
      <c r="BI89">
        <v>2</v>
      </c>
      <c r="BM89">
        <v>110007</v>
      </c>
      <c r="BN89">
        <v>0</v>
      </c>
      <c r="BP89">
        <v>0</v>
      </c>
      <c r="BQ89">
        <v>3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90</v>
      </c>
      <c r="CA89">
        <v>46</v>
      </c>
      <c r="CE89">
        <v>0</v>
      </c>
      <c r="CF89">
        <v>0</v>
      </c>
      <c r="CG89">
        <v>0</v>
      </c>
      <c r="CM89">
        <v>0</v>
      </c>
      <c r="CO89">
        <v>0</v>
      </c>
      <c r="CP89">
        <f t="shared" si="80"/>
        <v>469625</v>
      </c>
      <c r="CQ89">
        <f t="shared" si="81"/>
        <v>469625</v>
      </c>
      <c r="CR89">
        <f t="shared" si="110"/>
        <v>0</v>
      </c>
      <c r="CS89">
        <f t="shared" si="82"/>
        <v>0</v>
      </c>
      <c r="CT89">
        <f t="shared" si="83"/>
        <v>0</v>
      </c>
      <c r="CU89">
        <f t="shared" si="84"/>
        <v>0</v>
      </c>
      <c r="CV89">
        <f t="shared" si="85"/>
        <v>0</v>
      </c>
      <c r="CW89">
        <f t="shared" si="86"/>
        <v>0</v>
      </c>
      <c r="CX89">
        <f t="shared" si="87"/>
        <v>0</v>
      </c>
      <c r="CY89">
        <f t="shared" si="88"/>
        <v>0</v>
      </c>
      <c r="CZ89">
        <f t="shared" si="89"/>
        <v>0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170</v>
      </c>
      <c r="DW89" t="s">
        <v>170</v>
      </c>
      <c r="DX89">
        <v>1</v>
      </c>
      <c r="EE89">
        <v>55471563</v>
      </c>
      <c r="EF89">
        <v>3</v>
      </c>
      <c r="EG89" t="s">
        <v>163</v>
      </c>
      <c r="EH89">
        <v>0</v>
      </c>
      <c r="EJ89">
        <v>2</v>
      </c>
      <c r="EK89">
        <v>110007</v>
      </c>
      <c r="EL89" t="s">
        <v>164</v>
      </c>
      <c r="EM89" t="s">
        <v>165</v>
      </c>
      <c r="EQ89">
        <v>0</v>
      </c>
      <c r="ER89">
        <v>0</v>
      </c>
      <c r="ES89">
        <v>469625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90"/>
        <v>0</v>
      </c>
      <c r="FS89">
        <v>0</v>
      </c>
      <c r="FX89">
        <v>90</v>
      </c>
      <c r="FY89">
        <v>46</v>
      </c>
      <c r="GA89" t="s">
        <v>147</v>
      </c>
      <c r="GD89">
        <v>1</v>
      </c>
      <c r="GF89">
        <v>1590626601</v>
      </c>
      <c r="GG89">
        <v>2</v>
      </c>
      <c r="GH89">
        <v>2</v>
      </c>
      <c r="GI89">
        <v>3</v>
      </c>
      <c r="GJ89">
        <v>0</v>
      </c>
      <c r="GK89">
        <v>0</v>
      </c>
      <c r="GL89">
        <f t="shared" si="91"/>
        <v>0</v>
      </c>
      <c r="GM89">
        <f t="shared" si="92"/>
        <v>469625</v>
      </c>
      <c r="GN89">
        <f t="shared" si="93"/>
        <v>0</v>
      </c>
      <c r="GO89">
        <f t="shared" si="94"/>
        <v>469625</v>
      </c>
      <c r="GP89">
        <f t="shared" si="95"/>
        <v>0</v>
      </c>
      <c r="GR89">
        <v>0</v>
      </c>
      <c r="GS89">
        <v>4</v>
      </c>
      <c r="GT89">
        <v>0</v>
      </c>
      <c r="GV89">
        <f t="shared" si="96"/>
        <v>0</v>
      </c>
      <c r="GW89">
        <v>1</v>
      </c>
      <c r="GX89">
        <f t="shared" si="97"/>
        <v>0</v>
      </c>
      <c r="HA89">
        <v>0</v>
      </c>
      <c r="HB89">
        <v>0</v>
      </c>
      <c r="HC89">
        <f t="shared" si="98"/>
        <v>0</v>
      </c>
      <c r="HN89" t="s">
        <v>166</v>
      </c>
      <c r="HO89" t="s">
        <v>167</v>
      </c>
      <c r="HP89" t="s">
        <v>168</v>
      </c>
      <c r="HQ89" t="s">
        <v>168</v>
      </c>
      <c r="IK89">
        <v>0</v>
      </c>
    </row>
    <row r="90" spans="1:255" ht="12.75">
      <c r="A90" s="2">
        <v>17</v>
      </c>
      <c r="B90" s="2">
        <v>1</v>
      </c>
      <c r="C90" s="2">
        <f>ROW(SmtRes!A187)</f>
        <v>187</v>
      </c>
      <c r="D90" s="2">
        <f>ROW(EtalonRes!A197)</f>
        <v>197</v>
      </c>
      <c r="E90" s="2" t="s">
        <v>172</v>
      </c>
      <c r="F90" s="2" t="s">
        <v>173</v>
      </c>
      <c r="G90" s="2" t="s">
        <v>174</v>
      </c>
      <c r="H90" s="2" t="s">
        <v>154</v>
      </c>
      <c r="I90" s="2">
        <f>ROUND(13.8/100,7)</f>
        <v>0.138</v>
      </c>
      <c r="J90" s="2">
        <v>0</v>
      </c>
      <c r="K90" s="2">
        <f>ROUND(13.8/100,7)</f>
        <v>0.138</v>
      </c>
      <c r="L90" s="2"/>
      <c r="M90" s="2"/>
      <c r="N90" s="2"/>
      <c r="O90" s="2">
        <f t="shared" si="63"/>
        <v>18.06</v>
      </c>
      <c r="P90" s="2">
        <f t="shared" si="64"/>
        <v>0</v>
      </c>
      <c r="Q90" s="2">
        <f t="shared" si="65"/>
        <v>13.71</v>
      </c>
      <c r="R90" s="2">
        <f t="shared" si="66"/>
        <v>0.56</v>
      </c>
      <c r="S90" s="2">
        <f t="shared" si="67"/>
        <v>4.35</v>
      </c>
      <c r="T90" s="2">
        <f t="shared" si="68"/>
        <v>0</v>
      </c>
      <c r="U90" s="2">
        <f t="shared" si="69"/>
        <v>0.45264</v>
      </c>
      <c r="V90" s="2">
        <f t="shared" si="70"/>
        <v>0.0483</v>
      </c>
      <c r="W90" s="2">
        <f t="shared" si="71"/>
        <v>0</v>
      </c>
      <c r="X90" s="2">
        <f t="shared" si="72"/>
        <v>5.06</v>
      </c>
      <c r="Y90" s="2">
        <f t="shared" si="73"/>
        <v>2.9</v>
      </c>
      <c r="Z90" s="2"/>
      <c r="AA90" s="2">
        <v>55656218</v>
      </c>
      <c r="AB90" s="2">
        <f t="shared" si="74"/>
        <v>130.93</v>
      </c>
      <c r="AC90" s="2">
        <f t="shared" si="75"/>
        <v>0</v>
      </c>
      <c r="AD90" s="2">
        <f t="shared" si="105"/>
        <v>99.38</v>
      </c>
      <c r="AE90" s="2">
        <f t="shared" si="106"/>
        <v>4.06</v>
      </c>
      <c r="AF90" s="2">
        <f t="shared" si="107"/>
        <v>31.55</v>
      </c>
      <c r="AG90" s="2">
        <f t="shared" si="77"/>
        <v>0</v>
      </c>
      <c r="AH90" s="2">
        <f t="shared" si="108"/>
        <v>3.28</v>
      </c>
      <c r="AI90" s="2">
        <f t="shared" si="109"/>
        <v>0.35</v>
      </c>
      <c r="AJ90" s="2">
        <f t="shared" si="79"/>
        <v>0</v>
      </c>
      <c r="AK90" s="2">
        <v>130.93</v>
      </c>
      <c r="AL90" s="2">
        <v>0</v>
      </c>
      <c r="AM90" s="2">
        <v>99.38</v>
      </c>
      <c r="AN90" s="2">
        <v>4.06</v>
      </c>
      <c r="AO90" s="2">
        <v>31.55</v>
      </c>
      <c r="AP90" s="2">
        <v>0</v>
      </c>
      <c r="AQ90" s="2">
        <v>3.28</v>
      </c>
      <c r="AR90" s="2">
        <v>0.35</v>
      </c>
      <c r="AS90" s="2">
        <v>0</v>
      </c>
      <c r="AT90" s="2">
        <v>103</v>
      </c>
      <c r="AU90" s="2">
        <v>59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0</v>
      </c>
      <c r="BI90" s="2">
        <v>1</v>
      </c>
      <c r="BJ90" s="2" t="s">
        <v>175</v>
      </c>
      <c r="BK90" s="2"/>
      <c r="BL90" s="2"/>
      <c r="BM90" s="2">
        <v>46001</v>
      </c>
      <c r="BN90" s="2">
        <v>0</v>
      </c>
      <c r="BO90" s="2" t="s">
        <v>3</v>
      </c>
      <c r="BP90" s="2">
        <v>0</v>
      </c>
      <c r="BQ90" s="2">
        <v>2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103</v>
      </c>
      <c r="CA90" s="2">
        <v>59</v>
      </c>
      <c r="CB90" s="2" t="s">
        <v>3</v>
      </c>
      <c r="CC90" s="2"/>
      <c r="CD90" s="2"/>
      <c r="CE90" s="2">
        <v>0</v>
      </c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80"/>
        <v>18.060000000000002</v>
      </c>
      <c r="CQ90" s="2">
        <f t="shared" si="81"/>
        <v>0</v>
      </c>
      <c r="CR90" s="2">
        <f t="shared" si="110"/>
        <v>99.38</v>
      </c>
      <c r="CS90" s="2">
        <f t="shared" si="82"/>
        <v>4.06</v>
      </c>
      <c r="CT90" s="2">
        <f t="shared" si="83"/>
        <v>31.55</v>
      </c>
      <c r="CU90" s="2">
        <f t="shared" si="84"/>
        <v>0</v>
      </c>
      <c r="CV90" s="2">
        <f t="shared" si="85"/>
        <v>3.28</v>
      </c>
      <c r="CW90" s="2">
        <f t="shared" si="86"/>
        <v>0.35</v>
      </c>
      <c r="CX90" s="2">
        <f t="shared" si="87"/>
        <v>0</v>
      </c>
      <c r="CY90" s="2">
        <f t="shared" si="88"/>
        <v>5.057300000000001</v>
      </c>
      <c r="CZ90" s="2">
        <f t="shared" si="89"/>
        <v>2.8969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1003</v>
      </c>
      <c r="DV90" s="2" t="s">
        <v>154</v>
      </c>
      <c r="DW90" s="2" t="s">
        <v>154</v>
      </c>
      <c r="DX90" s="2">
        <v>100</v>
      </c>
      <c r="DY90" s="2"/>
      <c r="DZ90" s="2" t="s">
        <v>3</v>
      </c>
      <c r="EA90" s="2" t="s">
        <v>3</v>
      </c>
      <c r="EB90" s="2" t="s">
        <v>3</v>
      </c>
      <c r="EC90" s="2" t="s">
        <v>3</v>
      </c>
      <c r="ED90" s="2"/>
      <c r="EE90" s="2">
        <v>55471764</v>
      </c>
      <c r="EF90" s="2">
        <v>2</v>
      </c>
      <c r="EG90" s="2" t="s">
        <v>31</v>
      </c>
      <c r="EH90" s="2">
        <v>40</v>
      </c>
      <c r="EI90" s="2" t="s">
        <v>130</v>
      </c>
      <c r="EJ90" s="2">
        <v>1</v>
      </c>
      <c r="EK90" s="2">
        <v>46001</v>
      </c>
      <c r="EL90" s="2" t="s">
        <v>131</v>
      </c>
      <c r="EM90" s="2" t="s">
        <v>132</v>
      </c>
      <c r="EN90" s="2"/>
      <c r="EO90" s="2" t="s">
        <v>3</v>
      </c>
      <c r="EP90" s="2"/>
      <c r="EQ90" s="2">
        <v>0</v>
      </c>
      <c r="ER90" s="2">
        <v>130.93</v>
      </c>
      <c r="ES90" s="2">
        <v>0</v>
      </c>
      <c r="ET90" s="2">
        <v>99.38</v>
      </c>
      <c r="EU90" s="2">
        <v>4.06</v>
      </c>
      <c r="EV90" s="2">
        <v>31.55</v>
      </c>
      <c r="EW90" s="2">
        <v>3.28</v>
      </c>
      <c r="EX90" s="2">
        <v>0.35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90"/>
        <v>0</v>
      </c>
      <c r="FS90" s="2">
        <v>0</v>
      </c>
      <c r="FT90" s="2"/>
      <c r="FU90" s="2"/>
      <c r="FV90" s="2"/>
      <c r="FW90" s="2"/>
      <c r="FX90" s="2">
        <v>103</v>
      </c>
      <c r="FY90" s="2">
        <v>59</v>
      </c>
      <c r="FZ90" s="2"/>
      <c r="GA90" s="2" t="s">
        <v>3</v>
      </c>
      <c r="GB90" s="2"/>
      <c r="GC90" s="2"/>
      <c r="GD90" s="2">
        <v>1</v>
      </c>
      <c r="GE90" s="2"/>
      <c r="GF90" s="2">
        <v>-1603887931</v>
      </c>
      <c r="GG90" s="2">
        <v>2</v>
      </c>
      <c r="GH90" s="2">
        <v>1</v>
      </c>
      <c r="GI90" s="2">
        <v>-2</v>
      </c>
      <c r="GJ90" s="2">
        <v>0</v>
      </c>
      <c r="GK90" s="2">
        <v>0</v>
      </c>
      <c r="GL90" s="2">
        <f t="shared" si="91"/>
        <v>0</v>
      </c>
      <c r="GM90" s="2">
        <f t="shared" si="92"/>
        <v>26.02</v>
      </c>
      <c r="GN90" s="2">
        <f t="shared" si="93"/>
        <v>26.02</v>
      </c>
      <c r="GO90" s="2">
        <f t="shared" si="94"/>
        <v>0</v>
      </c>
      <c r="GP90" s="2">
        <f t="shared" si="95"/>
        <v>0</v>
      </c>
      <c r="GQ90" s="2"/>
      <c r="GR90" s="2">
        <v>0</v>
      </c>
      <c r="GS90" s="2">
        <v>3</v>
      </c>
      <c r="GT90" s="2">
        <v>0</v>
      </c>
      <c r="GU90" s="2" t="s">
        <v>3</v>
      </c>
      <c r="GV90" s="2">
        <f t="shared" si="96"/>
        <v>0</v>
      </c>
      <c r="GW90" s="2">
        <v>1</v>
      </c>
      <c r="GX90" s="2">
        <f t="shared" si="97"/>
        <v>0</v>
      </c>
      <c r="GY90" s="2"/>
      <c r="GZ90" s="2"/>
      <c r="HA90" s="2">
        <v>0</v>
      </c>
      <c r="HB90" s="2">
        <v>0</v>
      </c>
      <c r="HC90" s="2">
        <f t="shared" si="98"/>
        <v>0</v>
      </c>
      <c r="HD90" s="2"/>
      <c r="HE90" s="2" t="s">
        <v>3</v>
      </c>
      <c r="HF90" s="2" t="s">
        <v>3</v>
      </c>
      <c r="HG90" s="2"/>
      <c r="HH90" s="2"/>
      <c r="HI90" s="2"/>
      <c r="HJ90" s="2"/>
      <c r="HK90" s="2"/>
      <c r="HL90" s="2"/>
      <c r="HM90" s="2" t="s">
        <v>3</v>
      </c>
      <c r="HN90" s="2" t="s">
        <v>133</v>
      </c>
      <c r="HO90" s="2" t="s">
        <v>134</v>
      </c>
      <c r="HP90" s="2" t="s">
        <v>131</v>
      </c>
      <c r="HQ90" s="2" t="s">
        <v>131</v>
      </c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45" ht="12.75">
      <c r="A91">
        <v>17</v>
      </c>
      <c r="B91">
        <v>1</v>
      </c>
      <c r="C91">
        <f>ROW(SmtRes!A192)</f>
        <v>192</v>
      </c>
      <c r="D91">
        <f>ROW(EtalonRes!A202)</f>
        <v>202</v>
      </c>
      <c r="E91" t="s">
        <v>172</v>
      </c>
      <c r="F91" t="s">
        <v>173</v>
      </c>
      <c r="G91" t="s">
        <v>174</v>
      </c>
      <c r="H91" t="s">
        <v>154</v>
      </c>
      <c r="I91">
        <f>ROUND(13.8/100,7)</f>
        <v>0.138</v>
      </c>
      <c r="J91">
        <v>0</v>
      </c>
      <c r="K91">
        <f>ROUND(13.8/100,7)</f>
        <v>0.138</v>
      </c>
      <c r="O91">
        <f t="shared" si="63"/>
        <v>344.15</v>
      </c>
      <c r="P91">
        <f t="shared" si="64"/>
        <v>0</v>
      </c>
      <c r="Q91">
        <f t="shared" si="65"/>
        <v>181.58</v>
      </c>
      <c r="R91">
        <f t="shared" si="66"/>
        <v>20.92</v>
      </c>
      <c r="S91">
        <f t="shared" si="67"/>
        <v>162.57</v>
      </c>
      <c r="T91">
        <f t="shared" si="68"/>
        <v>0</v>
      </c>
      <c r="U91">
        <f t="shared" si="69"/>
        <v>0.45264</v>
      </c>
      <c r="V91">
        <f t="shared" si="70"/>
        <v>0.0483</v>
      </c>
      <c r="W91">
        <f t="shared" si="71"/>
        <v>0</v>
      </c>
      <c r="X91">
        <f t="shared" si="72"/>
        <v>188.99</v>
      </c>
      <c r="Y91">
        <f t="shared" si="73"/>
        <v>108.26</v>
      </c>
      <c r="AA91">
        <v>55657272</v>
      </c>
      <c r="AB91">
        <f t="shared" si="74"/>
        <v>130.93</v>
      </c>
      <c r="AC91">
        <f t="shared" si="75"/>
        <v>0</v>
      </c>
      <c r="AD91">
        <f t="shared" si="105"/>
        <v>99.38</v>
      </c>
      <c r="AE91">
        <f t="shared" si="106"/>
        <v>4.06</v>
      </c>
      <c r="AF91">
        <f t="shared" si="107"/>
        <v>31.55</v>
      </c>
      <c r="AG91">
        <f t="shared" si="77"/>
        <v>0</v>
      </c>
      <c r="AH91">
        <f t="shared" si="108"/>
        <v>3.28</v>
      </c>
      <c r="AI91">
        <f t="shared" si="109"/>
        <v>0.35</v>
      </c>
      <c r="AJ91">
        <f t="shared" si="79"/>
        <v>0</v>
      </c>
      <c r="AK91">
        <v>130.93</v>
      </c>
      <c r="AL91">
        <v>0</v>
      </c>
      <c r="AM91">
        <v>99.38</v>
      </c>
      <c r="AN91">
        <v>4.06</v>
      </c>
      <c r="AO91">
        <v>31.55</v>
      </c>
      <c r="AP91">
        <v>0</v>
      </c>
      <c r="AQ91">
        <v>3.28</v>
      </c>
      <c r="AR91">
        <v>0.35</v>
      </c>
      <c r="AS91">
        <v>0</v>
      </c>
      <c r="AT91">
        <v>103</v>
      </c>
      <c r="AU91">
        <v>59</v>
      </c>
      <c r="AV91">
        <v>1</v>
      </c>
      <c r="AW91">
        <v>1</v>
      </c>
      <c r="AZ91">
        <v>1</v>
      </c>
      <c r="BA91">
        <v>37.34</v>
      </c>
      <c r="BB91">
        <v>13.24</v>
      </c>
      <c r="BC91">
        <v>6.72</v>
      </c>
      <c r="BH91">
        <v>0</v>
      </c>
      <c r="BI91">
        <v>1</v>
      </c>
      <c r="BJ91" t="s">
        <v>175</v>
      </c>
      <c r="BM91">
        <v>46001</v>
      </c>
      <c r="BN91">
        <v>0</v>
      </c>
      <c r="BO91" t="s">
        <v>37</v>
      </c>
      <c r="BP91">
        <v>1</v>
      </c>
      <c r="BQ91">
        <v>2</v>
      </c>
      <c r="BR91">
        <v>0</v>
      </c>
      <c r="BS91">
        <v>37.34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103</v>
      </c>
      <c r="CA91">
        <v>59</v>
      </c>
      <c r="CE91">
        <v>0</v>
      </c>
      <c r="CF91">
        <v>0</v>
      </c>
      <c r="CG91">
        <v>0</v>
      </c>
      <c r="CM91">
        <v>0</v>
      </c>
      <c r="CO91">
        <v>0</v>
      </c>
      <c r="CP91">
        <f t="shared" si="80"/>
        <v>344.15</v>
      </c>
      <c r="CQ91">
        <f t="shared" si="81"/>
        <v>0</v>
      </c>
      <c r="CR91">
        <f t="shared" si="110"/>
        <v>1315.7912</v>
      </c>
      <c r="CS91">
        <f t="shared" si="82"/>
        <v>151.6004</v>
      </c>
      <c r="CT91">
        <f t="shared" si="83"/>
        <v>1178.0770000000002</v>
      </c>
      <c r="CU91">
        <f t="shared" si="84"/>
        <v>0</v>
      </c>
      <c r="CV91">
        <f t="shared" si="85"/>
        <v>3.28</v>
      </c>
      <c r="CW91">
        <f t="shared" si="86"/>
        <v>0.35</v>
      </c>
      <c r="CX91">
        <f t="shared" si="87"/>
        <v>0</v>
      </c>
      <c r="CY91">
        <f t="shared" si="88"/>
        <v>188.99470000000002</v>
      </c>
      <c r="CZ91">
        <f t="shared" si="89"/>
        <v>108.2591</v>
      </c>
      <c r="DN91">
        <v>0</v>
      </c>
      <c r="DO91">
        <v>0</v>
      </c>
      <c r="DP91">
        <v>1</v>
      </c>
      <c r="DQ91">
        <v>1</v>
      </c>
      <c r="DU91">
        <v>1003</v>
      </c>
      <c r="DV91" t="s">
        <v>154</v>
      </c>
      <c r="DW91" t="s">
        <v>154</v>
      </c>
      <c r="DX91">
        <v>100</v>
      </c>
      <c r="EE91">
        <v>55471764</v>
      </c>
      <c r="EF91">
        <v>2</v>
      </c>
      <c r="EG91" t="s">
        <v>31</v>
      </c>
      <c r="EH91">
        <v>40</v>
      </c>
      <c r="EI91" t="s">
        <v>130</v>
      </c>
      <c r="EJ91">
        <v>1</v>
      </c>
      <c r="EK91">
        <v>46001</v>
      </c>
      <c r="EL91" t="s">
        <v>131</v>
      </c>
      <c r="EM91" t="s">
        <v>132</v>
      </c>
      <c r="EQ91">
        <v>0</v>
      </c>
      <c r="ER91">
        <v>130.93</v>
      </c>
      <c r="ES91">
        <v>0</v>
      </c>
      <c r="ET91">
        <v>99.38</v>
      </c>
      <c r="EU91">
        <v>4.06</v>
      </c>
      <c r="EV91">
        <v>31.55</v>
      </c>
      <c r="EW91">
        <v>3.28</v>
      </c>
      <c r="EX91">
        <v>0.35</v>
      </c>
      <c r="EY91">
        <v>0</v>
      </c>
      <c r="FQ91">
        <v>0</v>
      </c>
      <c r="FR91">
        <f t="shared" si="90"/>
        <v>0</v>
      </c>
      <c r="FS91">
        <v>0</v>
      </c>
      <c r="FX91">
        <v>103</v>
      </c>
      <c r="FY91">
        <v>59</v>
      </c>
      <c r="GD91">
        <v>1</v>
      </c>
      <c r="GF91">
        <v>-1603887931</v>
      </c>
      <c r="GG91">
        <v>2</v>
      </c>
      <c r="GH91">
        <v>1</v>
      </c>
      <c r="GI91">
        <v>4</v>
      </c>
      <c r="GJ91">
        <v>0</v>
      </c>
      <c r="GK91">
        <v>0</v>
      </c>
      <c r="GL91">
        <f t="shared" si="91"/>
        <v>0</v>
      </c>
      <c r="GM91">
        <f t="shared" si="92"/>
        <v>641.4</v>
      </c>
      <c r="GN91">
        <f t="shared" si="93"/>
        <v>641.4</v>
      </c>
      <c r="GO91">
        <f t="shared" si="94"/>
        <v>0</v>
      </c>
      <c r="GP91">
        <f t="shared" si="95"/>
        <v>0</v>
      </c>
      <c r="GR91">
        <v>0</v>
      </c>
      <c r="GS91">
        <v>3</v>
      </c>
      <c r="GT91">
        <v>0</v>
      </c>
      <c r="GV91">
        <f t="shared" si="96"/>
        <v>0</v>
      </c>
      <c r="GW91">
        <v>1</v>
      </c>
      <c r="GX91">
        <f t="shared" si="97"/>
        <v>0</v>
      </c>
      <c r="HA91">
        <v>0</v>
      </c>
      <c r="HB91">
        <v>0</v>
      </c>
      <c r="HC91">
        <f t="shared" si="98"/>
        <v>0</v>
      </c>
      <c r="HN91" t="s">
        <v>133</v>
      </c>
      <c r="HO91" t="s">
        <v>134</v>
      </c>
      <c r="HP91" t="s">
        <v>131</v>
      </c>
      <c r="HQ91" t="s">
        <v>131</v>
      </c>
      <c r="IK91">
        <v>0</v>
      </c>
    </row>
    <row r="92" spans="1:255" ht="12.75">
      <c r="A92" s="2">
        <v>18</v>
      </c>
      <c r="B92" s="2">
        <v>1</v>
      </c>
      <c r="C92" s="2">
        <v>187</v>
      </c>
      <c r="D92" s="2"/>
      <c r="E92" s="2" t="s">
        <v>176</v>
      </c>
      <c r="F92" s="2" t="s">
        <v>177</v>
      </c>
      <c r="G92" s="2" t="s">
        <v>178</v>
      </c>
      <c r="H92" s="2" t="s">
        <v>51</v>
      </c>
      <c r="I92" s="2">
        <f>I90*J92</f>
        <v>5.25</v>
      </c>
      <c r="J92" s="2">
        <v>38.04347826086956</v>
      </c>
      <c r="K92" s="2">
        <v>38.043478</v>
      </c>
      <c r="L92" s="2"/>
      <c r="M92" s="2"/>
      <c r="N92" s="2"/>
      <c r="O92" s="2">
        <f aca="true" t="shared" si="111" ref="O92:O103">ROUND(CP92,2)</f>
        <v>163.17</v>
      </c>
      <c r="P92" s="2">
        <f aca="true" t="shared" si="112" ref="P92:P103">ROUND(CQ92*I92,2)</f>
        <v>163.17</v>
      </c>
      <c r="Q92" s="2">
        <f aca="true" t="shared" si="113" ref="Q92:Q103">ROUND(CR92*I92,2)</f>
        <v>0</v>
      </c>
      <c r="R92" s="2">
        <f aca="true" t="shared" si="114" ref="R92:R103">ROUND(CS92*I92,2)</f>
        <v>0</v>
      </c>
      <c r="S92" s="2">
        <f aca="true" t="shared" si="115" ref="S92:S103">ROUND(CT92*I92,2)</f>
        <v>0</v>
      </c>
      <c r="T92" s="2">
        <f aca="true" t="shared" si="116" ref="T92:T103">ROUND(CU92*I92,2)</f>
        <v>0</v>
      </c>
      <c r="U92" s="2">
        <f aca="true" t="shared" si="117" ref="U92:U103">CV92*I92</f>
        <v>0</v>
      </c>
      <c r="V92" s="2">
        <f aca="true" t="shared" si="118" ref="V92:V103">CW92*I92</f>
        <v>0</v>
      </c>
      <c r="W92" s="2">
        <f aca="true" t="shared" si="119" ref="W92:W103">ROUND(CX92*I92,2)</f>
        <v>0</v>
      </c>
      <c r="X92" s="2">
        <f aca="true" t="shared" si="120" ref="X92:X103">ROUND(CY92,2)</f>
        <v>0</v>
      </c>
      <c r="Y92" s="2">
        <f aca="true" t="shared" si="121" ref="Y92:Y103">ROUND(CZ92,2)</f>
        <v>0</v>
      </c>
      <c r="Z92" s="2"/>
      <c r="AA92" s="2">
        <v>55656218</v>
      </c>
      <c r="AB92" s="2">
        <f aca="true" t="shared" si="122" ref="AB92:AB103">ROUND((AC92+AD92+AF92),2)</f>
        <v>31.08</v>
      </c>
      <c r="AC92" s="2">
        <f t="shared" si="75"/>
        <v>31.08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aca="true" t="shared" si="123" ref="AG92:AG103">ROUND((AP92),2)</f>
        <v>0</v>
      </c>
      <c r="AH92" s="2">
        <f t="shared" si="108"/>
        <v>0</v>
      </c>
      <c r="AI92" s="2">
        <f t="shared" si="109"/>
        <v>0</v>
      </c>
      <c r="AJ92" s="2">
        <f aca="true" t="shared" si="124" ref="AJ92:AJ103">(AS92)</f>
        <v>0</v>
      </c>
      <c r="AK92" s="2">
        <v>31.08</v>
      </c>
      <c r="AL92" s="2">
        <v>31.08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103</v>
      </c>
      <c r="AU92" s="2">
        <v>73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179</v>
      </c>
      <c r="BK92" s="2"/>
      <c r="BL92" s="2"/>
      <c r="BM92" s="2">
        <v>46001</v>
      </c>
      <c r="BN92" s="2">
        <v>0</v>
      </c>
      <c r="BO92" s="2" t="s">
        <v>3</v>
      </c>
      <c r="BP92" s="2">
        <v>0</v>
      </c>
      <c r="BQ92" s="2">
        <v>2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103</v>
      </c>
      <c r="CA92" s="2">
        <v>73</v>
      </c>
      <c r="CB92" s="2" t="s">
        <v>3</v>
      </c>
      <c r="CC92" s="2"/>
      <c r="CD92" s="2"/>
      <c r="CE92" s="2">
        <v>0</v>
      </c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aca="true" t="shared" si="125" ref="CP92:CP103">(P92+Q92+S92)</f>
        <v>163.17</v>
      </c>
      <c r="CQ92" s="2">
        <f aca="true" t="shared" si="126" ref="CQ92:CQ103">AC92*BC92</f>
        <v>31.08</v>
      </c>
      <c r="CR92" s="2">
        <f t="shared" si="110"/>
        <v>0</v>
      </c>
      <c r="CS92" s="2">
        <f aca="true" t="shared" si="127" ref="CS92:CS103">AE92*BS92</f>
        <v>0</v>
      </c>
      <c r="CT92" s="2">
        <f aca="true" t="shared" si="128" ref="CT92:CT103">AF92*BA92</f>
        <v>0</v>
      </c>
      <c r="CU92" s="2">
        <f aca="true" t="shared" si="129" ref="CU92:CU103">AG92</f>
        <v>0</v>
      </c>
      <c r="CV92" s="2">
        <f aca="true" t="shared" si="130" ref="CV92:CV103">AH92</f>
        <v>0</v>
      </c>
      <c r="CW92" s="2">
        <f aca="true" t="shared" si="131" ref="CW92:CW103">AI92</f>
        <v>0</v>
      </c>
      <c r="CX92" s="2">
        <f aca="true" t="shared" si="132" ref="CX92:CX103">AJ92</f>
        <v>0</v>
      </c>
      <c r="CY92" s="2">
        <f aca="true" t="shared" si="133" ref="CY92:CY103">(((S92+R92)*AT92)/100)</f>
        <v>0</v>
      </c>
      <c r="CZ92" s="2">
        <f aca="true" t="shared" si="134" ref="CZ92:CZ103">(((S92+R92)*AU92)/100)</f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51</v>
      </c>
      <c r="DW92" s="2" t="s">
        <v>51</v>
      </c>
      <c r="DX92" s="2">
        <v>1</v>
      </c>
      <c r="DY92" s="2"/>
      <c r="DZ92" s="2" t="s">
        <v>3</v>
      </c>
      <c r="EA92" s="2" t="s">
        <v>3</v>
      </c>
      <c r="EB92" s="2" t="s">
        <v>3</v>
      </c>
      <c r="EC92" s="2" t="s">
        <v>3</v>
      </c>
      <c r="ED92" s="2"/>
      <c r="EE92" s="2">
        <v>55471764</v>
      </c>
      <c r="EF92" s="2">
        <v>2</v>
      </c>
      <c r="EG92" s="2" t="s">
        <v>31</v>
      </c>
      <c r="EH92" s="2">
        <v>40</v>
      </c>
      <c r="EI92" s="2" t="s">
        <v>130</v>
      </c>
      <c r="EJ92" s="2">
        <v>1</v>
      </c>
      <c r="EK92" s="2">
        <v>46001</v>
      </c>
      <c r="EL92" s="2" t="s">
        <v>131</v>
      </c>
      <c r="EM92" s="2" t="s">
        <v>132</v>
      </c>
      <c r="EN92" s="2"/>
      <c r="EO92" s="2" t="s">
        <v>3</v>
      </c>
      <c r="EP92" s="2"/>
      <c r="EQ92" s="2">
        <v>0</v>
      </c>
      <c r="ER92" s="2">
        <v>31.08</v>
      </c>
      <c r="ES92" s="2">
        <v>31.08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aca="true" t="shared" si="135" ref="FR92:FR103">ROUND(IF(AND(BH92=3,BI92=3),P92,0),2)</f>
        <v>0</v>
      </c>
      <c r="FS92" s="2">
        <v>0</v>
      </c>
      <c r="FT92" s="2"/>
      <c r="FU92" s="2"/>
      <c r="FV92" s="2"/>
      <c r="FW92" s="2"/>
      <c r="FX92" s="2">
        <v>103</v>
      </c>
      <c r="FY92" s="2">
        <v>73</v>
      </c>
      <c r="FZ92" s="2"/>
      <c r="GA92" s="2" t="s">
        <v>3</v>
      </c>
      <c r="GB92" s="2"/>
      <c r="GC92" s="2"/>
      <c r="GD92" s="2">
        <v>1</v>
      </c>
      <c r="GE92" s="2"/>
      <c r="GF92" s="2">
        <v>624972744</v>
      </c>
      <c r="GG92" s="2">
        <v>2</v>
      </c>
      <c r="GH92" s="2">
        <v>1</v>
      </c>
      <c r="GI92" s="2">
        <v>-2</v>
      </c>
      <c r="GJ92" s="2">
        <v>0</v>
      </c>
      <c r="GK92" s="2">
        <v>0</v>
      </c>
      <c r="GL92" s="2">
        <f aca="true" t="shared" si="136" ref="GL92:GL103">ROUND(IF(AND(BH92=3,BI92=3,FS92&lt;&gt;0),P92,0),2)</f>
        <v>0</v>
      </c>
      <c r="GM92" s="2">
        <f aca="true" t="shared" si="137" ref="GM92:GM103">ROUND(O92+X92+Y92,2)+GX92</f>
        <v>163.17</v>
      </c>
      <c r="GN92" s="2">
        <f aca="true" t="shared" si="138" ref="GN92:GN103">IF(OR(BI92=0,BI92=1),ROUND(O92+X92+Y92,2),0)</f>
        <v>163.17</v>
      </c>
      <c r="GO92" s="2">
        <f aca="true" t="shared" si="139" ref="GO92:GO103">IF(BI92=2,ROUND(O92+X92+Y92,2),0)</f>
        <v>0</v>
      </c>
      <c r="GP92" s="2">
        <f aca="true" t="shared" si="140" ref="GP92:GP103">IF(BI92=4,ROUND(O92+X92+Y92,2)+GX92,0)</f>
        <v>0</v>
      </c>
      <c r="GQ92" s="2"/>
      <c r="GR92" s="2">
        <v>0</v>
      </c>
      <c r="GS92" s="2">
        <v>0</v>
      </c>
      <c r="GT92" s="2">
        <v>0</v>
      </c>
      <c r="GU92" s="2" t="s">
        <v>3</v>
      </c>
      <c r="GV92" s="2">
        <f aca="true" t="shared" si="141" ref="GV92:GV103">ROUND((GT92),2)</f>
        <v>0</v>
      </c>
      <c r="GW92" s="2">
        <v>1</v>
      </c>
      <c r="GX92" s="2">
        <f aca="true" t="shared" si="142" ref="GX92:GX103">ROUND(HC92*I92,2)</f>
        <v>0</v>
      </c>
      <c r="GY92" s="2"/>
      <c r="GZ92" s="2"/>
      <c r="HA92" s="2">
        <v>0</v>
      </c>
      <c r="HB92" s="2">
        <v>0</v>
      </c>
      <c r="HC92" s="2">
        <f aca="true" t="shared" si="143" ref="HC92:HC103">GV92*GW92</f>
        <v>0</v>
      </c>
      <c r="HD92" s="2"/>
      <c r="HE92" s="2" t="s">
        <v>3</v>
      </c>
      <c r="HF92" s="2" t="s">
        <v>3</v>
      </c>
      <c r="HG92" s="2"/>
      <c r="HH92" s="2"/>
      <c r="HI92" s="2"/>
      <c r="HJ92" s="2"/>
      <c r="HK92" s="2"/>
      <c r="HL92" s="2"/>
      <c r="HM92" s="2" t="s">
        <v>3</v>
      </c>
      <c r="HN92" s="2" t="s">
        <v>133</v>
      </c>
      <c r="HO92" s="2" t="s">
        <v>134</v>
      </c>
      <c r="HP92" s="2" t="s">
        <v>131</v>
      </c>
      <c r="HQ92" s="2" t="s">
        <v>131</v>
      </c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45" ht="12.75">
      <c r="A93">
        <v>18</v>
      </c>
      <c r="B93">
        <v>1</v>
      </c>
      <c r="C93">
        <v>192</v>
      </c>
      <c r="E93" t="s">
        <v>176</v>
      </c>
      <c r="F93" t="s">
        <v>177</v>
      </c>
      <c r="G93" t="s">
        <v>178</v>
      </c>
      <c r="H93" t="s">
        <v>51</v>
      </c>
      <c r="I93">
        <f>I91*J93</f>
        <v>5.25</v>
      </c>
      <c r="J93">
        <v>38.04347826086956</v>
      </c>
      <c r="K93">
        <v>38.043478</v>
      </c>
      <c r="O93">
        <f t="shared" si="111"/>
        <v>1096.5</v>
      </c>
      <c r="P93">
        <f t="shared" si="112"/>
        <v>1096.5</v>
      </c>
      <c r="Q93">
        <f t="shared" si="113"/>
        <v>0</v>
      </c>
      <c r="R93">
        <f t="shared" si="114"/>
        <v>0</v>
      </c>
      <c r="S93">
        <f t="shared" si="115"/>
        <v>0</v>
      </c>
      <c r="T93">
        <f t="shared" si="116"/>
        <v>0</v>
      </c>
      <c r="U93">
        <f t="shared" si="117"/>
        <v>0</v>
      </c>
      <c r="V93">
        <f t="shared" si="118"/>
        <v>0</v>
      </c>
      <c r="W93">
        <f t="shared" si="119"/>
        <v>0</v>
      </c>
      <c r="X93">
        <f t="shared" si="120"/>
        <v>0</v>
      </c>
      <c r="Y93">
        <f t="shared" si="121"/>
        <v>0</v>
      </c>
      <c r="AA93">
        <v>55657272</v>
      </c>
      <c r="AB93">
        <f t="shared" si="122"/>
        <v>31.08</v>
      </c>
      <c r="AC93">
        <f t="shared" si="75"/>
        <v>31.08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23"/>
        <v>0</v>
      </c>
      <c r="AH93">
        <f t="shared" si="108"/>
        <v>0</v>
      </c>
      <c r="AI93">
        <f t="shared" si="109"/>
        <v>0</v>
      </c>
      <c r="AJ93">
        <f t="shared" si="124"/>
        <v>0</v>
      </c>
      <c r="AK93">
        <v>31.08</v>
      </c>
      <c r="AL93">
        <v>31.08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103</v>
      </c>
      <c r="AU93">
        <v>73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6.72</v>
      </c>
      <c r="BH93">
        <v>3</v>
      </c>
      <c r="BI93">
        <v>1</v>
      </c>
      <c r="BJ93" t="s">
        <v>179</v>
      </c>
      <c r="BM93">
        <v>46001</v>
      </c>
      <c r="BN93">
        <v>0</v>
      </c>
      <c r="BO93" t="s">
        <v>37</v>
      </c>
      <c r="BP93">
        <v>1</v>
      </c>
      <c r="BQ93">
        <v>2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103</v>
      </c>
      <c r="CA93">
        <v>73</v>
      </c>
      <c r="CE93">
        <v>0</v>
      </c>
      <c r="CF93">
        <v>0</v>
      </c>
      <c r="CG93">
        <v>0</v>
      </c>
      <c r="CM93">
        <v>0</v>
      </c>
      <c r="CO93">
        <v>0</v>
      </c>
      <c r="CP93">
        <f t="shared" si="125"/>
        <v>1096.5</v>
      </c>
      <c r="CQ93">
        <f t="shared" si="126"/>
        <v>208.8576</v>
      </c>
      <c r="CR93">
        <f t="shared" si="110"/>
        <v>0</v>
      </c>
      <c r="CS93">
        <f t="shared" si="127"/>
        <v>0</v>
      </c>
      <c r="CT93">
        <f t="shared" si="128"/>
        <v>0</v>
      </c>
      <c r="CU93">
        <f t="shared" si="129"/>
        <v>0</v>
      </c>
      <c r="CV93">
        <f t="shared" si="130"/>
        <v>0</v>
      </c>
      <c r="CW93">
        <f t="shared" si="131"/>
        <v>0</v>
      </c>
      <c r="CX93">
        <f t="shared" si="132"/>
        <v>0</v>
      </c>
      <c r="CY93">
        <f t="shared" si="133"/>
        <v>0</v>
      </c>
      <c r="CZ93">
        <f t="shared" si="134"/>
        <v>0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51</v>
      </c>
      <c r="DW93" t="s">
        <v>51</v>
      </c>
      <c r="DX93">
        <v>1</v>
      </c>
      <c r="EE93">
        <v>55471764</v>
      </c>
      <c r="EF93">
        <v>2</v>
      </c>
      <c r="EG93" t="s">
        <v>31</v>
      </c>
      <c r="EH93">
        <v>40</v>
      </c>
      <c r="EI93" t="s">
        <v>130</v>
      </c>
      <c r="EJ93">
        <v>1</v>
      </c>
      <c r="EK93">
        <v>46001</v>
      </c>
      <c r="EL93" t="s">
        <v>131</v>
      </c>
      <c r="EM93" t="s">
        <v>132</v>
      </c>
      <c r="EQ93">
        <v>0</v>
      </c>
      <c r="ER93">
        <v>31.08</v>
      </c>
      <c r="ES93">
        <v>31.08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35"/>
        <v>0</v>
      </c>
      <c r="FS93">
        <v>0</v>
      </c>
      <c r="FX93">
        <v>103</v>
      </c>
      <c r="FY93">
        <v>73</v>
      </c>
      <c r="GD93">
        <v>1</v>
      </c>
      <c r="GF93">
        <v>624972744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136"/>
        <v>0</v>
      </c>
      <c r="GM93">
        <f t="shared" si="137"/>
        <v>1096.5</v>
      </c>
      <c r="GN93">
        <f t="shared" si="138"/>
        <v>1096.5</v>
      </c>
      <c r="GO93">
        <f t="shared" si="139"/>
        <v>0</v>
      </c>
      <c r="GP93">
        <f t="shared" si="140"/>
        <v>0</v>
      </c>
      <c r="GR93">
        <v>0</v>
      </c>
      <c r="GS93">
        <v>0</v>
      </c>
      <c r="GT93">
        <v>0</v>
      </c>
      <c r="GV93">
        <f t="shared" si="141"/>
        <v>0</v>
      </c>
      <c r="GW93">
        <v>1</v>
      </c>
      <c r="GX93">
        <f t="shared" si="142"/>
        <v>0</v>
      </c>
      <c r="HA93">
        <v>0</v>
      </c>
      <c r="HB93">
        <v>0</v>
      </c>
      <c r="HC93">
        <f t="shared" si="143"/>
        <v>0</v>
      </c>
      <c r="HN93" t="s">
        <v>133</v>
      </c>
      <c r="HO93" t="s">
        <v>134</v>
      </c>
      <c r="HP93" t="s">
        <v>131</v>
      </c>
      <c r="HQ93" t="s">
        <v>131</v>
      </c>
      <c r="IK93">
        <v>0</v>
      </c>
    </row>
    <row r="94" spans="1:255" ht="12.75">
      <c r="A94" s="2">
        <v>17</v>
      </c>
      <c r="B94" s="2">
        <v>1</v>
      </c>
      <c r="C94" s="2">
        <f>ROW(SmtRes!A195)</f>
        <v>195</v>
      </c>
      <c r="D94" s="2">
        <f>ROW(EtalonRes!A205)</f>
        <v>205</v>
      </c>
      <c r="E94" s="2" t="s">
        <v>180</v>
      </c>
      <c r="F94" s="2" t="s">
        <v>181</v>
      </c>
      <c r="G94" s="2" t="s">
        <v>182</v>
      </c>
      <c r="H94" s="2" t="s">
        <v>154</v>
      </c>
      <c r="I94" s="2">
        <f>ROUND(3/100,7)</f>
        <v>0.03</v>
      </c>
      <c r="J94" s="2">
        <v>0</v>
      </c>
      <c r="K94" s="2">
        <f>ROUND(3/100,7)</f>
        <v>0.03</v>
      </c>
      <c r="L94" s="2"/>
      <c r="M94" s="2"/>
      <c r="N94" s="2"/>
      <c r="O94" s="2">
        <f t="shared" si="111"/>
        <v>7.31</v>
      </c>
      <c r="P94" s="2">
        <f t="shared" si="112"/>
        <v>2.41</v>
      </c>
      <c r="Q94" s="2">
        <f t="shared" si="113"/>
        <v>0</v>
      </c>
      <c r="R94" s="2">
        <f t="shared" si="114"/>
        <v>0</v>
      </c>
      <c r="S94" s="2">
        <f t="shared" si="115"/>
        <v>4.9</v>
      </c>
      <c r="T94" s="2">
        <f t="shared" si="116"/>
        <v>0</v>
      </c>
      <c r="U94" s="2">
        <f t="shared" si="117"/>
        <v>0.5740799999999999</v>
      </c>
      <c r="V94" s="2">
        <f t="shared" si="118"/>
        <v>0</v>
      </c>
      <c r="W94" s="2">
        <f t="shared" si="119"/>
        <v>0</v>
      </c>
      <c r="X94" s="2">
        <f t="shared" si="120"/>
        <v>5.49</v>
      </c>
      <c r="Y94" s="2">
        <f t="shared" si="121"/>
        <v>2.71</v>
      </c>
      <c r="Z94" s="2"/>
      <c r="AA94" s="2">
        <v>55656218</v>
      </c>
      <c r="AB94" s="2">
        <f t="shared" si="122"/>
        <v>243.63</v>
      </c>
      <c r="AC94" s="2">
        <f t="shared" si="75"/>
        <v>80.4</v>
      </c>
      <c r="AD94" s="2">
        <f>ROUND(((((ET94*ROUND(1.25,7)))-((EU94*ROUND(1.25,7))))+AE94),2)</f>
        <v>0</v>
      </c>
      <c r="AE94" s="2">
        <f>ROUND(((EU94*ROUND(1.25,7))),2)</f>
        <v>0</v>
      </c>
      <c r="AF94" s="2">
        <f>ROUND(((EV94*ROUND(1.15,7))),2)</f>
        <v>163.23</v>
      </c>
      <c r="AG94" s="2">
        <f t="shared" si="123"/>
        <v>0</v>
      </c>
      <c r="AH94" s="2">
        <f>((EW94*ROUND(1.15,7)))</f>
        <v>19.136</v>
      </c>
      <c r="AI94" s="2">
        <f>((EX94*ROUND(1.25,7)))</f>
        <v>0</v>
      </c>
      <c r="AJ94" s="2">
        <f t="shared" si="124"/>
        <v>0</v>
      </c>
      <c r="AK94" s="2">
        <v>222.34</v>
      </c>
      <c r="AL94" s="2">
        <v>80.4</v>
      </c>
      <c r="AM94" s="2">
        <v>0</v>
      </c>
      <c r="AN94" s="2">
        <v>0</v>
      </c>
      <c r="AO94" s="2">
        <v>141.94</v>
      </c>
      <c r="AP94" s="2">
        <v>0</v>
      </c>
      <c r="AQ94" s="2">
        <v>16.64</v>
      </c>
      <c r="AR94" s="2">
        <v>0</v>
      </c>
      <c r="AS94" s="2">
        <v>0</v>
      </c>
      <c r="AT94" s="2">
        <v>112</v>
      </c>
      <c r="AU94" s="2">
        <v>55.25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0</v>
      </c>
      <c r="BI94" s="2">
        <v>1</v>
      </c>
      <c r="BJ94" s="2" t="s">
        <v>183</v>
      </c>
      <c r="BK94" s="2"/>
      <c r="BL94" s="2"/>
      <c r="BM94" s="2">
        <v>11001</v>
      </c>
      <c r="BN94" s="2">
        <v>0</v>
      </c>
      <c r="BO94" s="2" t="s">
        <v>3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112</v>
      </c>
      <c r="CA94" s="2">
        <v>65</v>
      </c>
      <c r="CB94" s="2" t="s">
        <v>3</v>
      </c>
      <c r="CC94" s="2"/>
      <c r="CD94" s="2"/>
      <c r="CE94" s="2">
        <v>0</v>
      </c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475</v>
      </c>
      <c r="CO94" s="2">
        <v>0</v>
      </c>
      <c r="CP94" s="2">
        <f t="shared" si="125"/>
        <v>7.3100000000000005</v>
      </c>
      <c r="CQ94" s="2">
        <f t="shared" si="126"/>
        <v>80.4</v>
      </c>
      <c r="CR94" s="2">
        <f>((((ET94*ROUND(1.25,7)))*BB94-((EU94*ROUND(1.25,7)))*BS94)+AE94*BS94)</f>
        <v>0</v>
      </c>
      <c r="CS94" s="2">
        <f t="shared" si="127"/>
        <v>0</v>
      </c>
      <c r="CT94" s="2">
        <f t="shared" si="128"/>
        <v>163.23</v>
      </c>
      <c r="CU94" s="2">
        <f t="shared" si="129"/>
        <v>0</v>
      </c>
      <c r="CV94" s="2">
        <f t="shared" si="130"/>
        <v>19.136</v>
      </c>
      <c r="CW94" s="2">
        <f t="shared" si="131"/>
        <v>0</v>
      </c>
      <c r="CX94" s="2">
        <f t="shared" si="132"/>
        <v>0</v>
      </c>
      <c r="CY94" s="2">
        <f t="shared" si="133"/>
        <v>5.488</v>
      </c>
      <c r="CZ94" s="2">
        <f t="shared" si="134"/>
        <v>2.70725</v>
      </c>
      <c r="DA94" s="2"/>
      <c r="DB94" s="2"/>
      <c r="DC94" s="2" t="s">
        <v>3</v>
      </c>
      <c r="DD94" s="2" t="s">
        <v>3</v>
      </c>
      <c r="DE94" s="2" t="s">
        <v>117</v>
      </c>
      <c r="DF94" s="2" t="s">
        <v>117</v>
      </c>
      <c r="DG94" s="2" t="s">
        <v>118</v>
      </c>
      <c r="DH94" s="2" t="s">
        <v>3</v>
      </c>
      <c r="DI94" s="2" t="s">
        <v>118</v>
      </c>
      <c r="DJ94" s="2" t="s">
        <v>117</v>
      </c>
      <c r="DK94" s="2" t="s">
        <v>3</v>
      </c>
      <c r="DL94" s="2" t="s">
        <v>3</v>
      </c>
      <c r="DM94" s="2" t="s">
        <v>119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1003</v>
      </c>
      <c r="DV94" s="2" t="s">
        <v>154</v>
      </c>
      <c r="DW94" s="2" t="s">
        <v>154</v>
      </c>
      <c r="DX94" s="2">
        <v>100</v>
      </c>
      <c r="DY94" s="2"/>
      <c r="DZ94" s="2" t="s">
        <v>3</v>
      </c>
      <c r="EA94" s="2" t="s">
        <v>3</v>
      </c>
      <c r="EB94" s="2" t="s">
        <v>3</v>
      </c>
      <c r="EC94" s="2" t="s">
        <v>3</v>
      </c>
      <c r="ED94" s="2"/>
      <c r="EE94" s="2">
        <v>55471663</v>
      </c>
      <c r="EF94" s="2">
        <v>2</v>
      </c>
      <c r="EG94" s="2" t="s">
        <v>31</v>
      </c>
      <c r="EH94" s="2">
        <v>11</v>
      </c>
      <c r="EI94" s="2" t="s">
        <v>184</v>
      </c>
      <c r="EJ94" s="2">
        <v>1</v>
      </c>
      <c r="EK94" s="2">
        <v>11001</v>
      </c>
      <c r="EL94" s="2" t="s">
        <v>184</v>
      </c>
      <c r="EM94" s="2" t="s">
        <v>185</v>
      </c>
      <c r="EN94" s="2"/>
      <c r="EO94" s="2" t="s">
        <v>120</v>
      </c>
      <c r="EP94" s="2"/>
      <c r="EQ94" s="2">
        <v>0</v>
      </c>
      <c r="ER94" s="2">
        <v>222.34</v>
      </c>
      <c r="ES94" s="2">
        <v>80.4</v>
      </c>
      <c r="ET94" s="2">
        <v>0</v>
      </c>
      <c r="EU94" s="2">
        <v>0</v>
      </c>
      <c r="EV94" s="2">
        <v>141.94</v>
      </c>
      <c r="EW94" s="2">
        <v>16.64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35"/>
        <v>0</v>
      </c>
      <c r="FS94" s="2">
        <v>0</v>
      </c>
      <c r="FT94" s="2"/>
      <c r="FU94" s="2"/>
      <c r="FV94" s="2"/>
      <c r="FW94" s="2"/>
      <c r="FX94" s="2">
        <v>112</v>
      </c>
      <c r="FY94" s="2">
        <v>55.25</v>
      </c>
      <c r="FZ94" s="2"/>
      <c r="GA94" s="2" t="s">
        <v>3</v>
      </c>
      <c r="GB94" s="2"/>
      <c r="GC94" s="2"/>
      <c r="GD94" s="2">
        <v>1</v>
      </c>
      <c r="GE94" s="2"/>
      <c r="GF94" s="2">
        <v>-159475479</v>
      </c>
      <c r="GG94" s="2">
        <v>2</v>
      </c>
      <c r="GH94" s="2">
        <v>1</v>
      </c>
      <c r="GI94" s="2">
        <v>-2</v>
      </c>
      <c r="GJ94" s="2">
        <v>0</v>
      </c>
      <c r="GK94" s="2">
        <v>0</v>
      </c>
      <c r="GL94" s="2">
        <f t="shared" si="136"/>
        <v>0</v>
      </c>
      <c r="GM94" s="2">
        <f t="shared" si="137"/>
        <v>15.51</v>
      </c>
      <c r="GN94" s="2">
        <f t="shared" si="138"/>
        <v>15.51</v>
      </c>
      <c r="GO94" s="2">
        <f t="shared" si="139"/>
        <v>0</v>
      </c>
      <c r="GP94" s="2">
        <f t="shared" si="140"/>
        <v>0</v>
      </c>
      <c r="GQ94" s="2"/>
      <c r="GR94" s="2">
        <v>0</v>
      </c>
      <c r="GS94" s="2">
        <v>3</v>
      </c>
      <c r="GT94" s="2">
        <v>0</v>
      </c>
      <c r="GU94" s="2" t="s">
        <v>3</v>
      </c>
      <c r="GV94" s="2">
        <f t="shared" si="141"/>
        <v>0</v>
      </c>
      <c r="GW94" s="2">
        <v>1</v>
      </c>
      <c r="GX94" s="2">
        <f t="shared" si="142"/>
        <v>0</v>
      </c>
      <c r="GY94" s="2"/>
      <c r="GZ94" s="2"/>
      <c r="HA94" s="2">
        <v>0</v>
      </c>
      <c r="HB94" s="2">
        <v>0</v>
      </c>
      <c r="HC94" s="2">
        <f t="shared" si="143"/>
        <v>0</v>
      </c>
      <c r="HD94" s="2"/>
      <c r="HE94" s="2" t="s">
        <v>3</v>
      </c>
      <c r="HF94" s="2" t="s">
        <v>3</v>
      </c>
      <c r="HG94" s="2"/>
      <c r="HH94" s="2"/>
      <c r="HI94" s="2"/>
      <c r="HJ94" s="2"/>
      <c r="HK94" s="2"/>
      <c r="HL94" s="2"/>
      <c r="HM94" s="2" t="s">
        <v>3</v>
      </c>
      <c r="HN94" s="2" t="s">
        <v>186</v>
      </c>
      <c r="HO94" s="2" t="s">
        <v>187</v>
      </c>
      <c r="HP94" s="2" t="s">
        <v>184</v>
      </c>
      <c r="HQ94" s="2" t="s">
        <v>184</v>
      </c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45" ht="12.75">
      <c r="A95">
        <v>17</v>
      </c>
      <c r="B95">
        <v>1</v>
      </c>
      <c r="C95">
        <f>ROW(SmtRes!A198)</f>
        <v>198</v>
      </c>
      <c r="D95">
        <f>ROW(EtalonRes!A208)</f>
        <v>208</v>
      </c>
      <c r="E95" t="s">
        <v>180</v>
      </c>
      <c r="F95" t="s">
        <v>181</v>
      </c>
      <c r="G95" t="s">
        <v>182</v>
      </c>
      <c r="H95" t="s">
        <v>154</v>
      </c>
      <c r="I95">
        <f>ROUND(3/100,7)</f>
        <v>0.03</v>
      </c>
      <c r="J95">
        <v>0</v>
      </c>
      <c r="K95">
        <f>ROUND(3/100,7)</f>
        <v>0.03</v>
      </c>
      <c r="O95">
        <f t="shared" si="111"/>
        <v>199.06</v>
      </c>
      <c r="P95">
        <f t="shared" si="112"/>
        <v>16.21</v>
      </c>
      <c r="Q95">
        <f t="shared" si="113"/>
        <v>0</v>
      </c>
      <c r="R95">
        <f t="shared" si="114"/>
        <v>0</v>
      </c>
      <c r="S95">
        <f t="shared" si="115"/>
        <v>182.85</v>
      </c>
      <c r="T95">
        <f t="shared" si="116"/>
        <v>0</v>
      </c>
      <c r="U95">
        <f t="shared" si="117"/>
        <v>0.5740799999999999</v>
      </c>
      <c r="V95">
        <f t="shared" si="118"/>
        <v>0</v>
      </c>
      <c r="W95">
        <f t="shared" si="119"/>
        <v>0</v>
      </c>
      <c r="X95">
        <f t="shared" si="120"/>
        <v>204.79</v>
      </c>
      <c r="Y95">
        <f t="shared" si="121"/>
        <v>101.02</v>
      </c>
      <c r="AA95">
        <v>55657272</v>
      </c>
      <c r="AB95">
        <f t="shared" si="122"/>
        <v>243.63</v>
      </c>
      <c r="AC95">
        <f t="shared" si="75"/>
        <v>80.4</v>
      </c>
      <c r="AD95">
        <f>ROUND(((((ET95*ROUND(1.25,7)))-((EU95*ROUND(1.25,7))))+AE95),2)</f>
        <v>0</v>
      </c>
      <c r="AE95">
        <f>ROUND(((EU95*ROUND(1.25,7))),2)</f>
        <v>0</v>
      </c>
      <c r="AF95">
        <f>ROUND(((EV95*ROUND(1.15,7))),2)</f>
        <v>163.23</v>
      </c>
      <c r="AG95">
        <f t="shared" si="123"/>
        <v>0</v>
      </c>
      <c r="AH95">
        <f>((EW95*ROUND(1.15,7)))</f>
        <v>19.136</v>
      </c>
      <c r="AI95">
        <f>((EX95*ROUND(1.25,7)))</f>
        <v>0</v>
      </c>
      <c r="AJ95">
        <f t="shared" si="124"/>
        <v>0</v>
      </c>
      <c r="AK95">
        <v>222.34</v>
      </c>
      <c r="AL95">
        <v>80.4</v>
      </c>
      <c r="AM95">
        <v>0</v>
      </c>
      <c r="AN95">
        <v>0</v>
      </c>
      <c r="AO95">
        <v>141.94</v>
      </c>
      <c r="AP95">
        <v>0</v>
      </c>
      <c r="AQ95">
        <v>16.64</v>
      </c>
      <c r="AR95">
        <v>0</v>
      </c>
      <c r="AS95">
        <v>0</v>
      </c>
      <c r="AT95">
        <v>112</v>
      </c>
      <c r="AU95">
        <v>55.25</v>
      </c>
      <c r="AV95">
        <v>1</v>
      </c>
      <c r="AW95">
        <v>1</v>
      </c>
      <c r="AZ95">
        <v>1</v>
      </c>
      <c r="BA95">
        <v>37.34</v>
      </c>
      <c r="BB95">
        <v>13.24</v>
      </c>
      <c r="BC95">
        <v>6.72</v>
      </c>
      <c r="BH95">
        <v>0</v>
      </c>
      <c r="BI95">
        <v>1</v>
      </c>
      <c r="BJ95" t="s">
        <v>183</v>
      </c>
      <c r="BM95">
        <v>11001</v>
      </c>
      <c r="BN95">
        <v>0</v>
      </c>
      <c r="BO95" t="s">
        <v>37</v>
      </c>
      <c r="BP95">
        <v>1</v>
      </c>
      <c r="BQ95">
        <v>2</v>
      </c>
      <c r="BR95">
        <v>0</v>
      </c>
      <c r="BS95">
        <v>37.34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112</v>
      </c>
      <c r="CA95">
        <v>65</v>
      </c>
      <c r="CE95">
        <v>0</v>
      </c>
      <c r="CF95">
        <v>0</v>
      </c>
      <c r="CG95">
        <v>0</v>
      </c>
      <c r="CM95">
        <v>0</v>
      </c>
      <c r="CN95" t="s">
        <v>475</v>
      </c>
      <c r="CO95">
        <v>0</v>
      </c>
      <c r="CP95">
        <f t="shared" si="125"/>
        <v>199.06</v>
      </c>
      <c r="CQ95">
        <f t="shared" si="126"/>
        <v>540.288</v>
      </c>
      <c r="CR95">
        <f>((((ET95*ROUND(1.25,7)))*BB95-((EU95*ROUND(1.25,7)))*BS95)+AE95*BS95)</f>
        <v>0</v>
      </c>
      <c r="CS95">
        <f t="shared" si="127"/>
        <v>0</v>
      </c>
      <c r="CT95">
        <f t="shared" si="128"/>
        <v>6095.0082</v>
      </c>
      <c r="CU95">
        <f t="shared" si="129"/>
        <v>0</v>
      </c>
      <c r="CV95">
        <f t="shared" si="130"/>
        <v>19.136</v>
      </c>
      <c r="CW95">
        <f t="shared" si="131"/>
        <v>0</v>
      </c>
      <c r="CX95">
        <f t="shared" si="132"/>
        <v>0</v>
      </c>
      <c r="CY95">
        <f t="shared" si="133"/>
        <v>204.792</v>
      </c>
      <c r="CZ95">
        <f t="shared" si="134"/>
        <v>101.024625</v>
      </c>
      <c r="DE95" t="s">
        <v>117</v>
      </c>
      <c r="DF95" t="s">
        <v>117</v>
      </c>
      <c r="DG95" t="s">
        <v>118</v>
      </c>
      <c r="DI95" t="s">
        <v>118</v>
      </c>
      <c r="DJ95" t="s">
        <v>117</v>
      </c>
      <c r="DM95" t="s">
        <v>119</v>
      </c>
      <c r="DN95">
        <v>0</v>
      </c>
      <c r="DO95">
        <v>0</v>
      </c>
      <c r="DP95">
        <v>1</v>
      </c>
      <c r="DQ95">
        <v>1</v>
      </c>
      <c r="DU95">
        <v>1003</v>
      </c>
      <c r="DV95" t="s">
        <v>154</v>
      </c>
      <c r="DW95" t="s">
        <v>154</v>
      </c>
      <c r="DX95">
        <v>100</v>
      </c>
      <c r="EE95">
        <v>55471663</v>
      </c>
      <c r="EF95">
        <v>2</v>
      </c>
      <c r="EG95" t="s">
        <v>31</v>
      </c>
      <c r="EH95">
        <v>11</v>
      </c>
      <c r="EI95" t="s">
        <v>184</v>
      </c>
      <c r="EJ95">
        <v>1</v>
      </c>
      <c r="EK95">
        <v>11001</v>
      </c>
      <c r="EL95" t="s">
        <v>184</v>
      </c>
      <c r="EM95" t="s">
        <v>185</v>
      </c>
      <c r="EO95" t="s">
        <v>120</v>
      </c>
      <c r="EQ95">
        <v>0</v>
      </c>
      <c r="ER95">
        <v>222.34</v>
      </c>
      <c r="ES95">
        <v>80.4</v>
      </c>
      <c r="ET95">
        <v>0</v>
      </c>
      <c r="EU95">
        <v>0</v>
      </c>
      <c r="EV95">
        <v>141.94</v>
      </c>
      <c r="EW95">
        <v>16.64</v>
      </c>
      <c r="EX95">
        <v>0</v>
      </c>
      <c r="EY95">
        <v>0</v>
      </c>
      <c r="FQ95">
        <v>0</v>
      </c>
      <c r="FR95">
        <f t="shared" si="135"/>
        <v>0</v>
      </c>
      <c r="FS95">
        <v>0</v>
      </c>
      <c r="FX95">
        <v>112</v>
      </c>
      <c r="FY95">
        <v>55.25</v>
      </c>
      <c r="GD95">
        <v>1</v>
      </c>
      <c r="GF95">
        <v>-159475479</v>
      </c>
      <c r="GG95">
        <v>2</v>
      </c>
      <c r="GH95">
        <v>1</v>
      </c>
      <c r="GI95">
        <v>4</v>
      </c>
      <c r="GJ95">
        <v>0</v>
      </c>
      <c r="GK95">
        <v>0</v>
      </c>
      <c r="GL95">
        <f t="shared" si="136"/>
        <v>0</v>
      </c>
      <c r="GM95">
        <f t="shared" si="137"/>
        <v>504.87</v>
      </c>
      <c r="GN95">
        <f t="shared" si="138"/>
        <v>504.87</v>
      </c>
      <c r="GO95">
        <f t="shared" si="139"/>
        <v>0</v>
      </c>
      <c r="GP95">
        <f t="shared" si="140"/>
        <v>0</v>
      </c>
      <c r="GR95">
        <v>0</v>
      </c>
      <c r="GS95">
        <v>3</v>
      </c>
      <c r="GT95">
        <v>0</v>
      </c>
      <c r="GV95">
        <f t="shared" si="141"/>
        <v>0</v>
      </c>
      <c r="GW95">
        <v>1</v>
      </c>
      <c r="GX95">
        <f t="shared" si="142"/>
        <v>0</v>
      </c>
      <c r="HA95">
        <v>0</v>
      </c>
      <c r="HB95">
        <v>0</v>
      </c>
      <c r="HC95">
        <f t="shared" si="143"/>
        <v>0</v>
      </c>
      <c r="HN95" t="s">
        <v>186</v>
      </c>
      <c r="HO95" t="s">
        <v>187</v>
      </c>
      <c r="HP95" t="s">
        <v>184</v>
      </c>
      <c r="HQ95" t="s">
        <v>184</v>
      </c>
      <c r="IK95">
        <v>0</v>
      </c>
    </row>
    <row r="96" spans="1:255" ht="12.75">
      <c r="A96" s="2">
        <v>18</v>
      </c>
      <c r="B96" s="2">
        <v>1</v>
      </c>
      <c r="C96" s="2">
        <v>195</v>
      </c>
      <c r="D96" s="2"/>
      <c r="E96" s="2" t="s">
        <v>188</v>
      </c>
      <c r="F96" s="2" t="s">
        <v>189</v>
      </c>
      <c r="G96" s="2" t="s">
        <v>190</v>
      </c>
      <c r="H96" s="2" t="s">
        <v>158</v>
      </c>
      <c r="I96" s="2">
        <f>I94*J96</f>
        <v>3.15</v>
      </c>
      <c r="J96" s="2">
        <v>105</v>
      </c>
      <c r="K96" s="2">
        <v>105</v>
      </c>
      <c r="L96" s="2"/>
      <c r="M96" s="2"/>
      <c r="N96" s="2"/>
      <c r="O96" s="2">
        <f t="shared" si="111"/>
        <v>71.13</v>
      </c>
      <c r="P96" s="2">
        <f t="shared" si="112"/>
        <v>71.13</v>
      </c>
      <c r="Q96" s="2">
        <f t="shared" si="113"/>
        <v>0</v>
      </c>
      <c r="R96" s="2">
        <f t="shared" si="114"/>
        <v>0</v>
      </c>
      <c r="S96" s="2">
        <f t="shared" si="115"/>
        <v>0</v>
      </c>
      <c r="T96" s="2">
        <f t="shared" si="116"/>
        <v>0</v>
      </c>
      <c r="U96" s="2">
        <f t="shared" si="117"/>
        <v>0</v>
      </c>
      <c r="V96" s="2">
        <f t="shared" si="118"/>
        <v>0</v>
      </c>
      <c r="W96" s="2">
        <f t="shared" si="119"/>
        <v>0</v>
      </c>
      <c r="X96" s="2">
        <f t="shared" si="120"/>
        <v>0</v>
      </c>
      <c r="Y96" s="2">
        <f t="shared" si="121"/>
        <v>0</v>
      </c>
      <c r="Z96" s="2"/>
      <c r="AA96" s="2">
        <v>55656218</v>
      </c>
      <c r="AB96" s="2">
        <f t="shared" si="122"/>
        <v>22.58</v>
      </c>
      <c r="AC96" s="2">
        <f t="shared" si="75"/>
        <v>22.58</v>
      </c>
      <c r="AD96" s="2">
        <f>ROUND((((ET96)-(EU96))+AE96),2)</f>
        <v>0</v>
      </c>
      <c r="AE96" s="2">
        <f>ROUND((EU96),2)</f>
        <v>0</v>
      </c>
      <c r="AF96" s="2">
        <f>ROUND((EV96),2)</f>
        <v>0</v>
      </c>
      <c r="AG96" s="2">
        <f t="shared" si="123"/>
        <v>0</v>
      </c>
      <c r="AH96" s="2">
        <f>(EW96)</f>
        <v>0</v>
      </c>
      <c r="AI96" s="2">
        <f>(EX96)</f>
        <v>0</v>
      </c>
      <c r="AJ96" s="2">
        <f t="shared" si="124"/>
        <v>0</v>
      </c>
      <c r="AK96" s="2">
        <v>22.58</v>
      </c>
      <c r="AL96" s="2">
        <v>22.58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112</v>
      </c>
      <c r="AU96" s="2">
        <v>75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3</v>
      </c>
      <c r="BE96" s="2" t="s">
        <v>3</v>
      </c>
      <c r="BF96" s="2" t="s">
        <v>3</v>
      </c>
      <c r="BG96" s="2" t="s">
        <v>3</v>
      </c>
      <c r="BH96" s="2">
        <v>3</v>
      </c>
      <c r="BI96" s="2">
        <v>1</v>
      </c>
      <c r="BJ96" s="2" t="s">
        <v>191</v>
      </c>
      <c r="BK96" s="2"/>
      <c r="BL96" s="2"/>
      <c r="BM96" s="2">
        <v>11001</v>
      </c>
      <c r="BN96" s="2">
        <v>0</v>
      </c>
      <c r="BO96" s="2" t="s">
        <v>3</v>
      </c>
      <c r="BP96" s="2">
        <v>0</v>
      </c>
      <c r="BQ96" s="2">
        <v>2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3</v>
      </c>
      <c r="BZ96" s="2">
        <v>112</v>
      </c>
      <c r="CA96" s="2">
        <v>75</v>
      </c>
      <c r="CB96" s="2" t="s">
        <v>3</v>
      </c>
      <c r="CC96" s="2"/>
      <c r="CD96" s="2"/>
      <c r="CE96" s="2">
        <v>0</v>
      </c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3</v>
      </c>
      <c r="CO96" s="2">
        <v>0</v>
      </c>
      <c r="CP96" s="2">
        <f t="shared" si="125"/>
        <v>71.13</v>
      </c>
      <c r="CQ96" s="2">
        <f t="shared" si="126"/>
        <v>22.58</v>
      </c>
      <c r="CR96" s="2">
        <f>(((ET96)*BB96-(EU96)*BS96)+AE96*BS96)</f>
        <v>0</v>
      </c>
      <c r="CS96" s="2">
        <f t="shared" si="127"/>
        <v>0</v>
      </c>
      <c r="CT96" s="2">
        <f t="shared" si="128"/>
        <v>0</v>
      </c>
      <c r="CU96" s="2">
        <f t="shared" si="129"/>
        <v>0</v>
      </c>
      <c r="CV96" s="2">
        <f t="shared" si="130"/>
        <v>0</v>
      </c>
      <c r="CW96" s="2">
        <f t="shared" si="131"/>
        <v>0</v>
      </c>
      <c r="CX96" s="2">
        <f t="shared" si="132"/>
        <v>0</v>
      </c>
      <c r="CY96" s="2">
        <f t="shared" si="133"/>
        <v>0</v>
      </c>
      <c r="CZ96" s="2">
        <f t="shared" si="134"/>
        <v>0</v>
      </c>
      <c r="DA96" s="2"/>
      <c r="DB96" s="2"/>
      <c r="DC96" s="2" t="s">
        <v>3</v>
      </c>
      <c r="DD96" s="2" t="s">
        <v>3</v>
      </c>
      <c r="DE96" s="2" t="s">
        <v>3</v>
      </c>
      <c r="DF96" s="2" t="s">
        <v>3</v>
      </c>
      <c r="DG96" s="2" t="s">
        <v>3</v>
      </c>
      <c r="DH96" s="2" t="s">
        <v>3</v>
      </c>
      <c r="DI96" s="2" t="s">
        <v>3</v>
      </c>
      <c r="DJ96" s="2" t="s">
        <v>3</v>
      </c>
      <c r="DK96" s="2" t="s">
        <v>3</v>
      </c>
      <c r="DL96" s="2" t="s">
        <v>3</v>
      </c>
      <c r="DM96" s="2" t="s">
        <v>3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1003</v>
      </c>
      <c r="DV96" s="2" t="s">
        <v>158</v>
      </c>
      <c r="DW96" s="2" t="s">
        <v>158</v>
      </c>
      <c r="DX96" s="2">
        <v>1</v>
      </c>
      <c r="DY96" s="2"/>
      <c r="DZ96" s="2" t="s">
        <v>3</v>
      </c>
      <c r="EA96" s="2" t="s">
        <v>3</v>
      </c>
      <c r="EB96" s="2" t="s">
        <v>3</v>
      </c>
      <c r="EC96" s="2" t="s">
        <v>3</v>
      </c>
      <c r="ED96" s="2"/>
      <c r="EE96" s="2">
        <v>55471663</v>
      </c>
      <c r="EF96" s="2">
        <v>2</v>
      </c>
      <c r="EG96" s="2" t="s">
        <v>31</v>
      </c>
      <c r="EH96" s="2">
        <v>11</v>
      </c>
      <c r="EI96" s="2" t="s">
        <v>184</v>
      </c>
      <c r="EJ96" s="2">
        <v>1</v>
      </c>
      <c r="EK96" s="2">
        <v>11001</v>
      </c>
      <c r="EL96" s="2" t="s">
        <v>184</v>
      </c>
      <c r="EM96" s="2" t="s">
        <v>185</v>
      </c>
      <c r="EN96" s="2"/>
      <c r="EO96" s="2" t="s">
        <v>3</v>
      </c>
      <c r="EP96" s="2"/>
      <c r="EQ96" s="2">
        <v>0</v>
      </c>
      <c r="ER96" s="2">
        <v>22.58</v>
      </c>
      <c r="ES96" s="2">
        <v>22.58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35"/>
        <v>0</v>
      </c>
      <c r="FS96" s="2">
        <v>0</v>
      </c>
      <c r="FT96" s="2"/>
      <c r="FU96" s="2"/>
      <c r="FV96" s="2"/>
      <c r="FW96" s="2"/>
      <c r="FX96" s="2">
        <v>112</v>
      </c>
      <c r="FY96" s="2">
        <v>75</v>
      </c>
      <c r="FZ96" s="2"/>
      <c r="GA96" s="2" t="s">
        <v>3</v>
      </c>
      <c r="GB96" s="2"/>
      <c r="GC96" s="2"/>
      <c r="GD96" s="2">
        <v>1</v>
      </c>
      <c r="GE96" s="2"/>
      <c r="GF96" s="2">
        <v>-208962189</v>
      </c>
      <c r="GG96" s="2">
        <v>2</v>
      </c>
      <c r="GH96" s="2">
        <v>1</v>
      </c>
      <c r="GI96" s="2">
        <v>-2</v>
      </c>
      <c r="GJ96" s="2">
        <v>0</v>
      </c>
      <c r="GK96" s="2">
        <v>0</v>
      </c>
      <c r="GL96" s="2">
        <f t="shared" si="136"/>
        <v>0</v>
      </c>
      <c r="GM96" s="2">
        <f t="shared" si="137"/>
        <v>71.13</v>
      </c>
      <c r="GN96" s="2">
        <f t="shared" si="138"/>
        <v>71.13</v>
      </c>
      <c r="GO96" s="2">
        <f t="shared" si="139"/>
        <v>0</v>
      </c>
      <c r="GP96" s="2">
        <f t="shared" si="140"/>
        <v>0</v>
      </c>
      <c r="GQ96" s="2"/>
      <c r="GR96" s="2">
        <v>0</v>
      </c>
      <c r="GS96" s="2">
        <v>3</v>
      </c>
      <c r="GT96" s="2">
        <v>0</v>
      </c>
      <c r="GU96" s="2" t="s">
        <v>3</v>
      </c>
      <c r="GV96" s="2">
        <f t="shared" si="141"/>
        <v>0</v>
      </c>
      <c r="GW96" s="2">
        <v>1</v>
      </c>
      <c r="GX96" s="2">
        <f t="shared" si="142"/>
        <v>0</v>
      </c>
      <c r="GY96" s="2"/>
      <c r="GZ96" s="2"/>
      <c r="HA96" s="2">
        <v>0</v>
      </c>
      <c r="HB96" s="2">
        <v>0</v>
      </c>
      <c r="HC96" s="2">
        <f t="shared" si="143"/>
        <v>0</v>
      </c>
      <c r="HD96" s="2"/>
      <c r="HE96" s="2" t="s">
        <v>3</v>
      </c>
      <c r="HF96" s="2" t="s">
        <v>3</v>
      </c>
      <c r="HG96" s="2"/>
      <c r="HH96" s="2"/>
      <c r="HI96" s="2"/>
      <c r="HJ96" s="2"/>
      <c r="HK96" s="2"/>
      <c r="HL96" s="2"/>
      <c r="HM96" s="2" t="s">
        <v>3</v>
      </c>
      <c r="HN96" s="2" t="s">
        <v>186</v>
      </c>
      <c r="HO96" s="2" t="s">
        <v>187</v>
      </c>
      <c r="HP96" s="2" t="s">
        <v>184</v>
      </c>
      <c r="HQ96" s="2" t="s">
        <v>184</v>
      </c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45" ht="12.75">
      <c r="A97">
        <v>18</v>
      </c>
      <c r="B97">
        <v>1</v>
      </c>
      <c r="C97">
        <v>198</v>
      </c>
      <c r="E97" t="s">
        <v>188</v>
      </c>
      <c r="F97" t="s">
        <v>189</v>
      </c>
      <c r="G97" t="s">
        <v>190</v>
      </c>
      <c r="H97" t="s">
        <v>158</v>
      </c>
      <c r="I97">
        <f>I95*J97</f>
        <v>3.15</v>
      </c>
      <c r="J97">
        <v>105</v>
      </c>
      <c r="K97">
        <v>105</v>
      </c>
      <c r="O97">
        <f t="shared" si="111"/>
        <v>477.97</v>
      </c>
      <c r="P97">
        <f t="shared" si="112"/>
        <v>477.97</v>
      </c>
      <c r="Q97">
        <f t="shared" si="113"/>
        <v>0</v>
      </c>
      <c r="R97">
        <f t="shared" si="114"/>
        <v>0</v>
      </c>
      <c r="S97">
        <f t="shared" si="115"/>
        <v>0</v>
      </c>
      <c r="T97">
        <f t="shared" si="116"/>
        <v>0</v>
      </c>
      <c r="U97">
        <f t="shared" si="117"/>
        <v>0</v>
      </c>
      <c r="V97">
        <f t="shared" si="118"/>
        <v>0</v>
      </c>
      <c r="W97">
        <f t="shared" si="119"/>
        <v>0</v>
      </c>
      <c r="X97">
        <f t="shared" si="120"/>
        <v>0</v>
      </c>
      <c r="Y97">
        <f t="shared" si="121"/>
        <v>0</v>
      </c>
      <c r="AA97">
        <v>55657272</v>
      </c>
      <c r="AB97">
        <f t="shared" si="122"/>
        <v>22.58</v>
      </c>
      <c r="AC97">
        <f t="shared" si="75"/>
        <v>22.58</v>
      </c>
      <c r="AD97">
        <f>ROUND((((ET97)-(EU97))+AE97),2)</f>
        <v>0</v>
      </c>
      <c r="AE97">
        <f>ROUND((EU97),2)</f>
        <v>0</v>
      </c>
      <c r="AF97">
        <f>ROUND((EV97),2)</f>
        <v>0</v>
      </c>
      <c r="AG97">
        <f t="shared" si="123"/>
        <v>0</v>
      </c>
      <c r="AH97">
        <f>(EW97)</f>
        <v>0</v>
      </c>
      <c r="AI97">
        <f>(EX97)</f>
        <v>0</v>
      </c>
      <c r="AJ97">
        <f t="shared" si="124"/>
        <v>0</v>
      </c>
      <c r="AK97">
        <v>22.58</v>
      </c>
      <c r="AL97">
        <v>22.58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112</v>
      </c>
      <c r="AU97">
        <v>65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6.72</v>
      </c>
      <c r="BH97">
        <v>3</v>
      </c>
      <c r="BI97">
        <v>1</v>
      </c>
      <c r="BJ97" t="s">
        <v>191</v>
      </c>
      <c r="BM97">
        <v>11001</v>
      </c>
      <c r="BN97">
        <v>0</v>
      </c>
      <c r="BO97" t="s">
        <v>37</v>
      </c>
      <c r="BP97">
        <v>1</v>
      </c>
      <c r="BQ97">
        <v>2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112</v>
      </c>
      <c r="CA97">
        <v>65</v>
      </c>
      <c r="CE97">
        <v>0</v>
      </c>
      <c r="CF97">
        <v>0</v>
      </c>
      <c r="CG97">
        <v>0</v>
      </c>
      <c r="CM97">
        <v>0</v>
      </c>
      <c r="CO97">
        <v>0</v>
      </c>
      <c r="CP97">
        <f t="shared" si="125"/>
        <v>477.97</v>
      </c>
      <c r="CQ97">
        <f t="shared" si="126"/>
        <v>151.7376</v>
      </c>
      <c r="CR97">
        <f>(((ET97)*BB97-(EU97)*BS97)+AE97*BS97)</f>
        <v>0</v>
      </c>
      <c r="CS97">
        <f t="shared" si="127"/>
        <v>0</v>
      </c>
      <c r="CT97">
        <f t="shared" si="128"/>
        <v>0</v>
      </c>
      <c r="CU97">
        <f t="shared" si="129"/>
        <v>0</v>
      </c>
      <c r="CV97">
        <f t="shared" si="130"/>
        <v>0</v>
      </c>
      <c r="CW97">
        <f t="shared" si="131"/>
        <v>0</v>
      </c>
      <c r="CX97">
        <f t="shared" si="132"/>
        <v>0</v>
      </c>
      <c r="CY97">
        <f t="shared" si="133"/>
        <v>0</v>
      </c>
      <c r="CZ97">
        <f t="shared" si="134"/>
        <v>0</v>
      </c>
      <c r="DN97">
        <v>0</v>
      </c>
      <c r="DO97">
        <v>0</v>
      </c>
      <c r="DP97">
        <v>1</v>
      </c>
      <c r="DQ97">
        <v>1</v>
      </c>
      <c r="DU97">
        <v>1003</v>
      </c>
      <c r="DV97" t="s">
        <v>158</v>
      </c>
      <c r="DW97" t="s">
        <v>158</v>
      </c>
      <c r="DX97">
        <v>1</v>
      </c>
      <c r="EE97">
        <v>55471663</v>
      </c>
      <c r="EF97">
        <v>2</v>
      </c>
      <c r="EG97" t="s">
        <v>31</v>
      </c>
      <c r="EH97">
        <v>11</v>
      </c>
      <c r="EI97" t="s">
        <v>184</v>
      </c>
      <c r="EJ97">
        <v>1</v>
      </c>
      <c r="EK97">
        <v>11001</v>
      </c>
      <c r="EL97" t="s">
        <v>184</v>
      </c>
      <c r="EM97" t="s">
        <v>185</v>
      </c>
      <c r="EQ97">
        <v>0</v>
      </c>
      <c r="ER97">
        <v>22.58</v>
      </c>
      <c r="ES97">
        <v>22.58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35"/>
        <v>0</v>
      </c>
      <c r="FS97">
        <v>0</v>
      </c>
      <c r="FX97">
        <v>112</v>
      </c>
      <c r="FY97">
        <v>65</v>
      </c>
      <c r="GD97">
        <v>1</v>
      </c>
      <c r="GF97">
        <v>-208962189</v>
      </c>
      <c r="GG97">
        <v>2</v>
      </c>
      <c r="GH97">
        <v>1</v>
      </c>
      <c r="GI97">
        <v>4</v>
      </c>
      <c r="GJ97">
        <v>0</v>
      </c>
      <c r="GK97">
        <v>0</v>
      </c>
      <c r="GL97">
        <f t="shared" si="136"/>
        <v>0</v>
      </c>
      <c r="GM97">
        <f t="shared" si="137"/>
        <v>477.97</v>
      </c>
      <c r="GN97">
        <f t="shared" si="138"/>
        <v>477.97</v>
      </c>
      <c r="GO97">
        <f t="shared" si="139"/>
        <v>0</v>
      </c>
      <c r="GP97">
        <f t="shared" si="140"/>
        <v>0</v>
      </c>
      <c r="GR97">
        <v>0</v>
      </c>
      <c r="GS97">
        <v>0</v>
      </c>
      <c r="GT97">
        <v>0</v>
      </c>
      <c r="GV97">
        <f t="shared" si="141"/>
        <v>0</v>
      </c>
      <c r="GW97">
        <v>1</v>
      </c>
      <c r="GX97">
        <f t="shared" si="142"/>
        <v>0</v>
      </c>
      <c r="HA97">
        <v>0</v>
      </c>
      <c r="HB97">
        <v>0</v>
      </c>
      <c r="HC97">
        <f t="shared" si="143"/>
        <v>0</v>
      </c>
      <c r="HN97" t="s">
        <v>186</v>
      </c>
      <c r="HO97" t="s">
        <v>187</v>
      </c>
      <c r="HP97" t="s">
        <v>184</v>
      </c>
      <c r="HQ97" t="s">
        <v>184</v>
      </c>
      <c r="IK97">
        <v>0</v>
      </c>
    </row>
    <row r="98" spans="1:255" ht="12.75">
      <c r="A98" s="2">
        <v>17</v>
      </c>
      <c r="B98" s="2">
        <v>1</v>
      </c>
      <c r="C98" s="2">
        <f>ROW(SmtRes!A209)</f>
        <v>209</v>
      </c>
      <c r="D98" s="2">
        <f>ROW(EtalonRes!A220)</f>
        <v>220</v>
      </c>
      <c r="E98" s="2" t="s">
        <v>192</v>
      </c>
      <c r="F98" s="2" t="s">
        <v>193</v>
      </c>
      <c r="G98" s="2" t="s">
        <v>194</v>
      </c>
      <c r="H98" s="2" t="s">
        <v>26</v>
      </c>
      <c r="I98" s="2">
        <f>ROUND(5.6/100,7)</f>
        <v>0.056</v>
      </c>
      <c r="J98" s="2">
        <v>0</v>
      </c>
      <c r="K98" s="2">
        <f>ROUND(5.6/100,7)</f>
        <v>0.056</v>
      </c>
      <c r="L98" s="2"/>
      <c r="M98" s="2"/>
      <c r="N98" s="2"/>
      <c r="O98" s="2">
        <f t="shared" si="111"/>
        <v>188.75</v>
      </c>
      <c r="P98" s="2">
        <f t="shared" si="112"/>
        <v>78.52</v>
      </c>
      <c r="Q98" s="2">
        <f t="shared" si="113"/>
        <v>61.74</v>
      </c>
      <c r="R98" s="2">
        <f t="shared" si="114"/>
        <v>9.42</v>
      </c>
      <c r="S98" s="2">
        <f t="shared" si="115"/>
        <v>48.49</v>
      </c>
      <c r="T98" s="2">
        <f t="shared" si="116"/>
        <v>0</v>
      </c>
      <c r="U98" s="2">
        <f t="shared" si="117"/>
        <v>5.158439999999999</v>
      </c>
      <c r="V98" s="2">
        <f t="shared" si="118"/>
        <v>0.7168000000000001</v>
      </c>
      <c r="W98" s="2">
        <f t="shared" si="119"/>
        <v>0</v>
      </c>
      <c r="X98" s="2">
        <f t="shared" si="120"/>
        <v>62.54</v>
      </c>
      <c r="Y98" s="2">
        <f t="shared" si="121"/>
        <v>27.07</v>
      </c>
      <c r="Z98" s="2"/>
      <c r="AA98" s="2">
        <v>55656218</v>
      </c>
      <c r="AB98" s="2">
        <f t="shared" si="122"/>
        <v>3370.48</v>
      </c>
      <c r="AC98" s="2">
        <f t="shared" si="75"/>
        <v>1402.15</v>
      </c>
      <c r="AD98" s="2">
        <f>ROUND(((((ET98*ROUND(1.25,7)))-((EU98*ROUND(1.25,7))))+AE98),2)</f>
        <v>1102.45</v>
      </c>
      <c r="AE98" s="2">
        <f>ROUND(((EU98*ROUND(1.25,7))),2)</f>
        <v>168.29</v>
      </c>
      <c r="AF98" s="2">
        <f>ROUND(((EV98*ROUND(1.15,7))),2)</f>
        <v>865.88</v>
      </c>
      <c r="AG98" s="2">
        <f t="shared" si="123"/>
        <v>0</v>
      </c>
      <c r="AH98" s="2">
        <f>((EW98*ROUND(1.15,7)))</f>
        <v>92.11499999999998</v>
      </c>
      <c r="AI98" s="2">
        <f>((EX98*ROUND(1.25,7)))</f>
        <v>12.8</v>
      </c>
      <c r="AJ98" s="2">
        <f t="shared" si="124"/>
        <v>0</v>
      </c>
      <c r="AK98" s="2">
        <v>3037.05</v>
      </c>
      <c r="AL98" s="2">
        <v>1402.15</v>
      </c>
      <c r="AM98" s="2">
        <v>881.96</v>
      </c>
      <c r="AN98" s="2">
        <v>134.63</v>
      </c>
      <c r="AO98" s="2">
        <v>752.94</v>
      </c>
      <c r="AP98" s="2">
        <v>0</v>
      </c>
      <c r="AQ98" s="2">
        <v>80.1</v>
      </c>
      <c r="AR98" s="2">
        <v>10.24</v>
      </c>
      <c r="AS98" s="2">
        <v>0</v>
      </c>
      <c r="AT98" s="2">
        <v>108</v>
      </c>
      <c r="AU98" s="2">
        <v>46.75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3</v>
      </c>
      <c r="BE98" s="2" t="s">
        <v>3</v>
      </c>
      <c r="BF98" s="2" t="s">
        <v>3</v>
      </c>
      <c r="BG98" s="2" t="s">
        <v>3</v>
      </c>
      <c r="BH98" s="2">
        <v>0</v>
      </c>
      <c r="BI98" s="2">
        <v>1</v>
      </c>
      <c r="BJ98" s="2" t="s">
        <v>195</v>
      </c>
      <c r="BK98" s="2"/>
      <c r="BL98" s="2"/>
      <c r="BM98" s="2">
        <v>10001</v>
      </c>
      <c r="BN98" s="2">
        <v>0</v>
      </c>
      <c r="BO98" s="2" t="s">
        <v>3</v>
      </c>
      <c r="BP98" s="2">
        <v>0</v>
      </c>
      <c r="BQ98" s="2">
        <v>2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3</v>
      </c>
      <c r="BZ98" s="2">
        <v>108</v>
      </c>
      <c r="CA98" s="2">
        <v>55</v>
      </c>
      <c r="CB98" s="2" t="s">
        <v>3</v>
      </c>
      <c r="CC98" s="2"/>
      <c r="CD98" s="2"/>
      <c r="CE98" s="2">
        <v>0</v>
      </c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475</v>
      </c>
      <c r="CO98" s="2">
        <v>0</v>
      </c>
      <c r="CP98" s="2">
        <f t="shared" si="125"/>
        <v>188.75</v>
      </c>
      <c r="CQ98" s="2">
        <f t="shared" si="126"/>
        <v>1402.15</v>
      </c>
      <c r="CR98" s="2">
        <f>((((ET98*ROUND(1.25,7)))*BB98-((EU98*ROUND(1.25,7)))*BS98)+AE98*BS98)</f>
        <v>1102.4525</v>
      </c>
      <c r="CS98" s="2">
        <f t="shared" si="127"/>
        <v>168.29</v>
      </c>
      <c r="CT98" s="2">
        <f t="shared" si="128"/>
        <v>865.88</v>
      </c>
      <c r="CU98" s="2">
        <f t="shared" si="129"/>
        <v>0</v>
      </c>
      <c r="CV98" s="2">
        <f t="shared" si="130"/>
        <v>92.11499999999998</v>
      </c>
      <c r="CW98" s="2">
        <f t="shared" si="131"/>
        <v>12.8</v>
      </c>
      <c r="CX98" s="2">
        <f t="shared" si="132"/>
        <v>0</v>
      </c>
      <c r="CY98" s="2">
        <f t="shared" si="133"/>
        <v>62.54280000000001</v>
      </c>
      <c r="CZ98" s="2">
        <f t="shared" si="134"/>
        <v>27.072925</v>
      </c>
      <c r="DA98" s="2"/>
      <c r="DB98" s="2"/>
      <c r="DC98" s="2" t="s">
        <v>3</v>
      </c>
      <c r="DD98" s="2" t="s">
        <v>3</v>
      </c>
      <c r="DE98" s="2" t="s">
        <v>117</v>
      </c>
      <c r="DF98" s="2" t="s">
        <v>117</v>
      </c>
      <c r="DG98" s="2" t="s">
        <v>118</v>
      </c>
      <c r="DH98" s="2" t="s">
        <v>3</v>
      </c>
      <c r="DI98" s="2" t="s">
        <v>118</v>
      </c>
      <c r="DJ98" s="2" t="s">
        <v>117</v>
      </c>
      <c r="DK98" s="2" t="s">
        <v>3</v>
      </c>
      <c r="DL98" s="2" t="s">
        <v>3</v>
      </c>
      <c r="DM98" s="2" t="s">
        <v>119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1005</v>
      </c>
      <c r="DV98" s="2" t="s">
        <v>26</v>
      </c>
      <c r="DW98" s="2" t="s">
        <v>26</v>
      </c>
      <c r="DX98" s="2">
        <v>100</v>
      </c>
      <c r="DY98" s="2"/>
      <c r="DZ98" s="2" t="s">
        <v>3</v>
      </c>
      <c r="EA98" s="2" t="s">
        <v>3</v>
      </c>
      <c r="EB98" s="2" t="s">
        <v>3</v>
      </c>
      <c r="EC98" s="2" t="s">
        <v>3</v>
      </c>
      <c r="ED98" s="2"/>
      <c r="EE98" s="2">
        <v>55471661</v>
      </c>
      <c r="EF98" s="2">
        <v>2</v>
      </c>
      <c r="EG98" s="2" t="s">
        <v>31</v>
      </c>
      <c r="EH98" s="2">
        <v>10</v>
      </c>
      <c r="EI98" s="2" t="s">
        <v>196</v>
      </c>
      <c r="EJ98" s="2">
        <v>1</v>
      </c>
      <c r="EK98" s="2">
        <v>10001</v>
      </c>
      <c r="EL98" s="2" t="s">
        <v>196</v>
      </c>
      <c r="EM98" s="2" t="s">
        <v>197</v>
      </c>
      <c r="EN98" s="2"/>
      <c r="EO98" s="2" t="s">
        <v>120</v>
      </c>
      <c r="EP98" s="2"/>
      <c r="EQ98" s="2">
        <v>0</v>
      </c>
      <c r="ER98" s="2">
        <v>3037.05</v>
      </c>
      <c r="ES98" s="2">
        <v>1402.15</v>
      </c>
      <c r="ET98" s="2">
        <v>881.96</v>
      </c>
      <c r="EU98" s="2">
        <v>134.63</v>
      </c>
      <c r="EV98" s="2">
        <v>752.94</v>
      </c>
      <c r="EW98" s="2">
        <v>80.1</v>
      </c>
      <c r="EX98" s="2">
        <v>10.24</v>
      </c>
      <c r="EY98" s="2">
        <v>0</v>
      </c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35"/>
        <v>0</v>
      </c>
      <c r="FS98" s="2">
        <v>0</v>
      </c>
      <c r="FT98" s="2"/>
      <c r="FU98" s="2"/>
      <c r="FV98" s="2"/>
      <c r="FW98" s="2"/>
      <c r="FX98" s="2">
        <v>108</v>
      </c>
      <c r="FY98" s="2">
        <v>46.75</v>
      </c>
      <c r="FZ98" s="2"/>
      <c r="GA98" s="2" t="s">
        <v>3</v>
      </c>
      <c r="GB98" s="2"/>
      <c r="GC98" s="2"/>
      <c r="GD98" s="2">
        <v>1</v>
      </c>
      <c r="GE98" s="2"/>
      <c r="GF98" s="2">
        <v>53514500</v>
      </c>
      <c r="GG98" s="2">
        <v>2</v>
      </c>
      <c r="GH98" s="2">
        <v>1</v>
      </c>
      <c r="GI98" s="2">
        <v>-2</v>
      </c>
      <c r="GJ98" s="2">
        <v>0</v>
      </c>
      <c r="GK98" s="2">
        <v>0</v>
      </c>
      <c r="GL98" s="2">
        <f t="shared" si="136"/>
        <v>0</v>
      </c>
      <c r="GM98" s="2">
        <f t="shared" si="137"/>
        <v>278.36</v>
      </c>
      <c r="GN98" s="2">
        <f t="shared" si="138"/>
        <v>278.36</v>
      </c>
      <c r="GO98" s="2">
        <f t="shared" si="139"/>
        <v>0</v>
      </c>
      <c r="GP98" s="2">
        <f t="shared" si="140"/>
        <v>0</v>
      </c>
      <c r="GQ98" s="2"/>
      <c r="GR98" s="2">
        <v>0</v>
      </c>
      <c r="GS98" s="2">
        <v>3</v>
      </c>
      <c r="GT98" s="2">
        <v>0</v>
      </c>
      <c r="GU98" s="2" t="s">
        <v>3</v>
      </c>
      <c r="GV98" s="2">
        <f t="shared" si="141"/>
        <v>0</v>
      </c>
      <c r="GW98" s="2">
        <v>1</v>
      </c>
      <c r="GX98" s="2">
        <f t="shared" si="142"/>
        <v>0</v>
      </c>
      <c r="GY98" s="2"/>
      <c r="GZ98" s="2"/>
      <c r="HA98" s="2">
        <v>0</v>
      </c>
      <c r="HB98" s="2">
        <v>0</v>
      </c>
      <c r="HC98" s="2">
        <f t="shared" si="143"/>
        <v>0</v>
      </c>
      <c r="HD98" s="2"/>
      <c r="HE98" s="2" t="s">
        <v>3</v>
      </c>
      <c r="HF98" s="2" t="s">
        <v>3</v>
      </c>
      <c r="HG98" s="2"/>
      <c r="HH98" s="2"/>
      <c r="HI98" s="2"/>
      <c r="HJ98" s="2"/>
      <c r="HK98" s="2"/>
      <c r="HL98" s="2"/>
      <c r="HM98" s="2" t="s">
        <v>3</v>
      </c>
      <c r="HN98" s="2" t="s">
        <v>198</v>
      </c>
      <c r="HO98" s="2" t="s">
        <v>199</v>
      </c>
      <c r="HP98" s="2" t="s">
        <v>196</v>
      </c>
      <c r="HQ98" s="2" t="s">
        <v>196</v>
      </c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45" ht="12.75">
      <c r="A99">
        <v>17</v>
      </c>
      <c r="B99">
        <v>1</v>
      </c>
      <c r="C99">
        <f>ROW(SmtRes!A220)</f>
        <v>220</v>
      </c>
      <c r="D99">
        <f>ROW(EtalonRes!A232)</f>
        <v>232</v>
      </c>
      <c r="E99" t="s">
        <v>192</v>
      </c>
      <c r="F99" t="s">
        <v>193</v>
      </c>
      <c r="G99" t="s">
        <v>194</v>
      </c>
      <c r="H99" t="s">
        <v>26</v>
      </c>
      <c r="I99">
        <f>ROUND(5.6/100,7)</f>
        <v>0.056</v>
      </c>
      <c r="J99">
        <v>0</v>
      </c>
      <c r="K99">
        <f>ROUND(5.6/100,7)</f>
        <v>0.056</v>
      </c>
      <c r="O99">
        <f t="shared" si="111"/>
        <v>3155.66</v>
      </c>
      <c r="P99">
        <f t="shared" si="112"/>
        <v>527.66</v>
      </c>
      <c r="Q99">
        <f t="shared" si="113"/>
        <v>817.41</v>
      </c>
      <c r="R99">
        <f t="shared" si="114"/>
        <v>351.9</v>
      </c>
      <c r="S99">
        <f t="shared" si="115"/>
        <v>1810.59</v>
      </c>
      <c r="T99">
        <f t="shared" si="116"/>
        <v>0</v>
      </c>
      <c r="U99">
        <f t="shared" si="117"/>
        <v>5.158439999999999</v>
      </c>
      <c r="V99">
        <f t="shared" si="118"/>
        <v>0.7168000000000001</v>
      </c>
      <c r="W99">
        <f t="shared" si="119"/>
        <v>0</v>
      </c>
      <c r="X99">
        <f t="shared" si="120"/>
        <v>2335.49</v>
      </c>
      <c r="Y99">
        <f t="shared" si="121"/>
        <v>1010.96</v>
      </c>
      <c r="AA99">
        <v>55657272</v>
      </c>
      <c r="AB99">
        <f t="shared" si="122"/>
        <v>3370.48</v>
      </c>
      <c r="AC99">
        <f t="shared" si="75"/>
        <v>1402.15</v>
      </c>
      <c r="AD99">
        <f>ROUND(((((ET99*ROUND(1.25,7)))-((EU99*ROUND(1.25,7))))+AE99),2)</f>
        <v>1102.45</v>
      </c>
      <c r="AE99">
        <f>ROUND(((EU99*ROUND(1.25,7))),2)</f>
        <v>168.29</v>
      </c>
      <c r="AF99">
        <f>ROUND(((EV99*ROUND(1.15,7))),2)</f>
        <v>865.88</v>
      </c>
      <c r="AG99">
        <f t="shared" si="123"/>
        <v>0</v>
      </c>
      <c r="AH99">
        <f>((EW99*ROUND(1.15,7)))</f>
        <v>92.11499999999998</v>
      </c>
      <c r="AI99">
        <f>((EX99*ROUND(1.25,7)))</f>
        <v>12.8</v>
      </c>
      <c r="AJ99">
        <f t="shared" si="124"/>
        <v>0</v>
      </c>
      <c r="AK99">
        <v>3037.05</v>
      </c>
      <c r="AL99">
        <v>1402.15</v>
      </c>
      <c r="AM99">
        <v>881.96</v>
      </c>
      <c r="AN99">
        <v>134.63</v>
      </c>
      <c r="AO99">
        <v>752.94</v>
      </c>
      <c r="AP99">
        <v>0</v>
      </c>
      <c r="AQ99">
        <v>80.1</v>
      </c>
      <c r="AR99">
        <v>10.24</v>
      </c>
      <c r="AS99">
        <v>0</v>
      </c>
      <c r="AT99">
        <v>108</v>
      </c>
      <c r="AU99">
        <v>46.75</v>
      </c>
      <c r="AV99">
        <v>1</v>
      </c>
      <c r="AW99">
        <v>1</v>
      </c>
      <c r="AZ99">
        <v>1</v>
      </c>
      <c r="BA99">
        <v>37.34</v>
      </c>
      <c r="BB99">
        <v>13.24</v>
      </c>
      <c r="BC99">
        <v>6.72</v>
      </c>
      <c r="BH99">
        <v>0</v>
      </c>
      <c r="BI99">
        <v>1</v>
      </c>
      <c r="BJ99" t="s">
        <v>195</v>
      </c>
      <c r="BM99">
        <v>10001</v>
      </c>
      <c r="BN99">
        <v>0</v>
      </c>
      <c r="BO99" t="s">
        <v>37</v>
      </c>
      <c r="BP99">
        <v>1</v>
      </c>
      <c r="BQ99">
        <v>2</v>
      </c>
      <c r="BR99">
        <v>0</v>
      </c>
      <c r="BS99">
        <v>37.34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108</v>
      </c>
      <c r="CA99">
        <v>55</v>
      </c>
      <c r="CE99">
        <v>0</v>
      </c>
      <c r="CF99">
        <v>0</v>
      </c>
      <c r="CG99">
        <v>0</v>
      </c>
      <c r="CM99">
        <v>0</v>
      </c>
      <c r="CN99" t="s">
        <v>475</v>
      </c>
      <c r="CO99">
        <v>0</v>
      </c>
      <c r="CP99">
        <f t="shared" si="125"/>
        <v>3155.66</v>
      </c>
      <c r="CQ99">
        <f t="shared" si="126"/>
        <v>9422.448</v>
      </c>
      <c r="CR99">
        <f>((((ET99*ROUND(1.25,7)))*BB99-((EU99*ROUND(1.25,7)))*BS99)+AE99*BS99)</f>
        <v>14596.531350000001</v>
      </c>
      <c r="CS99">
        <f t="shared" si="127"/>
        <v>6283.948600000001</v>
      </c>
      <c r="CT99">
        <f t="shared" si="128"/>
        <v>32331.9592</v>
      </c>
      <c r="CU99">
        <f t="shared" si="129"/>
        <v>0</v>
      </c>
      <c r="CV99">
        <f t="shared" si="130"/>
        <v>92.11499999999998</v>
      </c>
      <c r="CW99">
        <f t="shared" si="131"/>
        <v>12.8</v>
      </c>
      <c r="CX99">
        <f t="shared" si="132"/>
        <v>0</v>
      </c>
      <c r="CY99">
        <f t="shared" si="133"/>
        <v>2335.4892</v>
      </c>
      <c r="CZ99">
        <f t="shared" si="134"/>
        <v>1010.9640749999999</v>
      </c>
      <c r="DE99" t="s">
        <v>117</v>
      </c>
      <c r="DF99" t="s">
        <v>117</v>
      </c>
      <c r="DG99" t="s">
        <v>118</v>
      </c>
      <c r="DI99" t="s">
        <v>118</v>
      </c>
      <c r="DJ99" t="s">
        <v>117</v>
      </c>
      <c r="DM99" t="s">
        <v>119</v>
      </c>
      <c r="DN99">
        <v>0</v>
      </c>
      <c r="DO99">
        <v>0</v>
      </c>
      <c r="DP99">
        <v>1</v>
      </c>
      <c r="DQ99">
        <v>1</v>
      </c>
      <c r="DU99">
        <v>1005</v>
      </c>
      <c r="DV99" t="s">
        <v>26</v>
      </c>
      <c r="DW99" t="s">
        <v>26</v>
      </c>
      <c r="DX99">
        <v>100</v>
      </c>
      <c r="EE99">
        <v>55471661</v>
      </c>
      <c r="EF99">
        <v>2</v>
      </c>
      <c r="EG99" t="s">
        <v>31</v>
      </c>
      <c r="EH99">
        <v>10</v>
      </c>
      <c r="EI99" t="s">
        <v>196</v>
      </c>
      <c r="EJ99">
        <v>1</v>
      </c>
      <c r="EK99">
        <v>10001</v>
      </c>
      <c r="EL99" t="s">
        <v>196</v>
      </c>
      <c r="EM99" t="s">
        <v>197</v>
      </c>
      <c r="EO99" t="s">
        <v>120</v>
      </c>
      <c r="EQ99">
        <v>0</v>
      </c>
      <c r="ER99">
        <v>3037.05</v>
      </c>
      <c r="ES99">
        <v>1402.15</v>
      </c>
      <c r="ET99">
        <v>881.96</v>
      </c>
      <c r="EU99">
        <v>134.63</v>
      </c>
      <c r="EV99">
        <v>752.94</v>
      </c>
      <c r="EW99">
        <v>80.1</v>
      </c>
      <c r="EX99">
        <v>10.24</v>
      </c>
      <c r="EY99">
        <v>0</v>
      </c>
      <c r="FQ99">
        <v>0</v>
      </c>
      <c r="FR99">
        <f t="shared" si="135"/>
        <v>0</v>
      </c>
      <c r="FS99">
        <v>0</v>
      </c>
      <c r="FX99">
        <v>108</v>
      </c>
      <c r="FY99">
        <v>46.75</v>
      </c>
      <c r="GD99">
        <v>1</v>
      </c>
      <c r="GF99">
        <v>53514500</v>
      </c>
      <c r="GG99">
        <v>2</v>
      </c>
      <c r="GH99">
        <v>1</v>
      </c>
      <c r="GI99">
        <v>4</v>
      </c>
      <c r="GJ99">
        <v>0</v>
      </c>
      <c r="GK99">
        <v>0</v>
      </c>
      <c r="GL99">
        <f t="shared" si="136"/>
        <v>0</v>
      </c>
      <c r="GM99">
        <f t="shared" si="137"/>
        <v>6502.11</v>
      </c>
      <c r="GN99">
        <f t="shared" si="138"/>
        <v>6502.11</v>
      </c>
      <c r="GO99">
        <f t="shared" si="139"/>
        <v>0</v>
      </c>
      <c r="GP99">
        <f t="shared" si="140"/>
        <v>0</v>
      </c>
      <c r="GR99">
        <v>0</v>
      </c>
      <c r="GS99">
        <v>3</v>
      </c>
      <c r="GT99">
        <v>0</v>
      </c>
      <c r="GV99">
        <f t="shared" si="141"/>
        <v>0</v>
      </c>
      <c r="GW99">
        <v>1</v>
      </c>
      <c r="GX99">
        <f t="shared" si="142"/>
        <v>0</v>
      </c>
      <c r="HA99">
        <v>0</v>
      </c>
      <c r="HB99">
        <v>0</v>
      </c>
      <c r="HC99">
        <f t="shared" si="143"/>
        <v>0</v>
      </c>
      <c r="HN99" t="s">
        <v>198</v>
      </c>
      <c r="HO99" t="s">
        <v>199</v>
      </c>
      <c r="HP99" t="s">
        <v>196</v>
      </c>
      <c r="HQ99" t="s">
        <v>196</v>
      </c>
      <c r="IK99">
        <v>0</v>
      </c>
    </row>
    <row r="100" spans="1:255" ht="12.75">
      <c r="A100" s="2">
        <v>18</v>
      </c>
      <c r="B100" s="2">
        <v>1</v>
      </c>
      <c r="C100" s="2">
        <v>209</v>
      </c>
      <c r="D100" s="2"/>
      <c r="E100" s="2" t="s">
        <v>200</v>
      </c>
      <c r="F100" s="2" t="s">
        <v>144</v>
      </c>
      <c r="G100" s="2" t="s">
        <v>478</v>
      </c>
      <c r="H100" s="2" t="s">
        <v>170</v>
      </c>
      <c r="I100" s="2">
        <f>I98*J100</f>
        <v>2</v>
      </c>
      <c r="J100" s="2">
        <v>35.714285714285715</v>
      </c>
      <c r="K100" s="2">
        <v>35.714286</v>
      </c>
      <c r="L100" s="2"/>
      <c r="M100" s="2"/>
      <c r="N100" s="2"/>
      <c r="O100" s="2">
        <f t="shared" si="111"/>
        <v>208320</v>
      </c>
      <c r="P100" s="2">
        <f t="shared" si="112"/>
        <v>208320</v>
      </c>
      <c r="Q100" s="2">
        <f t="shared" si="113"/>
        <v>0</v>
      </c>
      <c r="R100" s="2">
        <f t="shared" si="114"/>
        <v>0</v>
      </c>
      <c r="S100" s="2">
        <f t="shared" si="115"/>
        <v>0</v>
      </c>
      <c r="T100" s="2">
        <f t="shared" si="116"/>
        <v>0</v>
      </c>
      <c r="U100" s="2">
        <f t="shared" si="117"/>
        <v>0</v>
      </c>
      <c r="V100" s="2">
        <f t="shared" si="118"/>
        <v>0</v>
      </c>
      <c r="W100" s="2">
        <f t="shared" si="119"/>
        <v>0</v>
      </c>
      <c r="X100" s="2">
        <f t="shared" si="120"/>
        <v>0</v>
      </c>
      <c r="Y100" s="2">
        <f t="shared" si="121"/>
        <v>0</v>
      </c>
      <c r="Z100" s="2"/>
      <c r="AA100" s="2">
        <v>55656218</v>
      </c>
      <c r="AB100" s="2">
        <f t="shared" si="122"/>
        <v>104160</v>
      </c>
      <c r="AC100" s="2">
        <f t="shared" si="75"/>
        <v>104160</v>
      </c>
      <c r="AD100" s="2">
        <f>ROUND((((ET100)-(EU100))+AE100),2)</f>
        <v>0</v>
      </c>
      <c r="AE100" s="2">
        <f>ROUND((EU100),2)</f>
        <v>0</v>
      </c>
      <c r="AF100" s="2">
        <f>ROUND((EV100),2)</f>
        <v>0</v>
      </c>
      <c r="AG100" s="2">
        <f t="shared" si="123"/>
        <v>0</v>
      </c>
      <c r="AH100" s="2">
        <f>(EW100)</f>
        <v>0</v>
      </c>
      <c r="AI100" s="2">
        <f>(EX100)</f>
        <v>0</v>
      </c>
      <c r="AJ100" s="2">
        <f t="shared" si="124"/>
        <v>0</v>
      </c>
      <c r="AK100" s="2">
        <v>104160</v>
      </c>
      <c r="AL100" s="2">
        <v>104160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90</v>
      </c>
      <c r="AU100" s="2">
        <v>46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3</v>
      </c>
      <c r="BE100" s="2" t="s">
        <v>3</v>
      </c>
      <c r="BF100" s="2" t="s">
        <v>3</v>
      </c>
      <c r="BG100" s="2" t="s">
        <v>3</v>
      </c>
      <c r="BH100" s="2">
        <v>3</v>
      </c>
      <c r="BI100" s="2">
        <v>2</v>
      </c>
      <c r="BJ100" s="2" t="s">
        <v>3</v>
      </c>
      <c r="BK100" s="2"/>
      <c r="BL100" s="2"/>
      <c r="BM100" s="2">
        <v>110007</v>
      </c>
      <c r="BN100" s="2">
        <v>0</v>
      </c>
      <c r="BO100" s="2" t="s">
        <v>3</v>
      </c>
      <c r="BP100" s="2">
        <v>0</v>
      </c>
      <c r="BQ100" s="2">
        <v>3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3</v>
      </c>
      <c r="BZ100" s="2">
        <v>90</v>
      </c>
      <c r="CA100" s="2">
        <v>46</v>
      </c>
      <c r="CB100" s="2" t="s">
        <v>3</v>
      </c>
      <c r="CC100" s="2"/>
      <c r="CD100" s="2"/>
      <c r="CE100" s="2">
        <v>0</v>
      </c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3</v>
      </c>
      <c r="CO100" s="2">
        <v>0</v>
      </c>
      <c r="CP100" s="2">
        <f t="shared" si="125"/>
        <v>208320</v>
      </c>
      <c r="CQ100" s="2">
        <f t="shared" si="126"/>
        <v>104160</v>
      </c>
      <c r="CR100" s="2">
        <f>(((ET100)*BB100-(EU100)*BS100)+AE100*BS100)</f>
        <v>0</v>
      </c>
      <c r="CS100" s="2">
        <f t="shared" si="127"/>
        <v>0</v>
      </c>
      <c r="CT100" s="2">
        <f t="shared" si="128"/>
        <v>0</v>
      </c>
      <c r="CU100" s="2">
        <f t="shared" si="129"/>
        <v>0</v>
      </c>
      <c r="CV100" s="2">
        <f t="shared" si="130"/>
        <v>0</v>
      </c>
      <c r="CW100" s="2">
        <f t="shared" si="131"/>
        <v>0</v>
      </c>
      <c r="CX100" s="2">
        <f t="shared" si="132"/>
        <v>0</v>
      </c>
      <c r="CY100" s="2">
        <f t="shared" si="133"/>
        <v>0</v>
      </c>
      <c r="CZ100" s="2">
        <f t="shared" si="134"/>
        <v>0</v>
      </c>
      <c r="DA100" s="2"/>
      <c r="DB100" s="2"/>
      <c r="DC100" s="2" t="s">
        <v>3</v>
      </c>
      <c r="DD100" s="2" t="s">
        <v>3</v>
      </c>
      <c r="DE100" s="2" t="s">
        <v>3</v>
      </c>
      <c r="DF100" s="2" t="s">
        <v>3</v>
      </c>
      <c r="DG100" s="2" t="s">
        <v>3</v>
      </c>
      <c r="DH100" s="2" t="s">
        <v>3</v>
      </c>
      <c r="DI100" s="2" t="s">
        <v>3</v>
      </c>
      <c r="DJ100" s="2" t="s">
        <v>3</v>
      </c>
      <c r="DK100" s="2" t="s">
        <v>3</v>
      </c>
      <c r="DL100" s="2" t="s">
        <v>3</v>
      </c>
      <c r="DM100" s="2" t="s">
        <v>3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170</v>
      </c>
      <c r="DW100" s="2" t="s">
        <v>170</v>
      </c>
      <c r="DX100" s="2">
        <v>1</v>
      </c>
      <c r="DY100" s="2"/>
      <c r="DZ100" s="2" t="s">
        <v>3</v>
      </c>
      <c r="EA100" s="2" t="s">
        <v>3</v>
      </c>
      <c r="EB100" s="2" t="s">
        <v>3</v>
      </c>
      <c r="EC100" s="2" t="s">
        <v>3</v>
      </c>
      <c r="ED100" s="2"/>
      <c r="EE100" s="2">
        <v>55471563</v>
      </c>
      <c r="EF100" s="2">
        <v>3</v>
      </c>
      <c r="EG100" s="2" t="s">
        <v>163</v>
      </c>
      <c r="EH100" s="2">
        <v>0</v>
      </c>
      <c r="EI100" s="2" t="s">
        <v>3</v>
      </c>
      <c r="EJ100" s="2">
        <v>2</v>
      </c>
      <c r="EK100" s="2">
        <v>110007</v>
      </c>
      <c r="EL100" s="2" t="s">
        <v>164</v>
      </c>
      <c r="EM100" s="2" t="s">
        <v>165</v>
      </c>
      <c r="EN100" s="2"/>
      <c r="EO100" s="2" t="s">
        <v>3</v>
      </c>
      <c r="EP100" s="2"/>
      <c r="EQ100" s="2">
        <v>0</v>
      </c>
      <c r="ER100" s="2">
        <v>0</v>
      </c>
      <c r="ES100" s="2">
        <v>104160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35"/>
        <v>0</v>
      </c>
      <c r="FS100" s="2">
        <v>0</v>
      </c>
      <c r="FT100" s="2"/>
      <c r="FU100" s="2"/>
      <c r="FV100" s="2"/>
      <c r="FW100" s="2"/>
      <c r="FX100" s="2">
        <v>90</v>
      </c>
      <c r="FY100" s="2">
        <v>46</v>
      </c>
      <c r="FZ100" s="2"/>
      <c r="GA100" s="2" t="s">
        <v>147</v>
      </c>
      <c r="GB100" s="2"/>
      <c r="GC100" s="2"/>
      <c r="GD100" s="2">
        <v>1</v>
      </c>
      <c r="GE100" s="2"/>
      <c r="GF100" s="2">
        <v>-1944874667</v>
      </c>
      <c r="GG100" s="2">
        <v>2</v>
      </c>
      <c r="GH100" s="2">
        <v>4</v>
      </c>
      <c r="GI100" s="2">
        <v>-2</v>
      </c>
      <c r="GJ100" s="2">
        <v>0</v>
      </c>
      <c r="GK100" s="2">
        <v>0</v>
      </c>
      <c r="GL100" s="2">
        <f t="shared" si="136"/>
        <v>0</v>
      </c>
      <c r="GM100" s="2">
        <f t="shared" si="137"/>
        <v>208320</v>
      </c>
      <c r="GN100" s="2">
        <f t="shared" si="138"/>
        <v>0</v>
      </c>
      <c r="GO100" s="2">
        <f t="shared" si="139"/>
        <v>208320</v>
      </c>
      <c r="GP100" s="2">
        <f t="shared" si="140"/>
        <v>0</v>
      </c>
      <c r="GQ100" s="2"/>
      <c r="GR100" s="2">
        <v>0</v>
      </c>
      <c r="GS100" s="2">
        <v>2</v>
      </c>
      <c r="GT100" s="2">
        <v>0</v>
      </c>
      <c r="GU100" s="2" t="s">
        <v>3</v>
      </c>
      <c r="GV100" s="2">
        <f t="shared" si="141"/>
        <v>0</v>
      </c>
      <c r="GW100" s="2">
        <v>1</v>
      </c>
      <c r="GX100" s="2">
        <f t="shared" si="142"/>
        <v>0</v>
      </c>
      <c r="GY100" s="2"/>
      <c r="GZ100" s="2"/>
      <c r="HA100" s="2">
        <v>0</v>
      </c>
      <c r="HB100" s="2">
        <v>0</v>
      </c>
      <c r="HC100" s="2">
        <f t="shared" si="143"/>
        <v>0</v>
      </c>
      <c r="HD100" s="2"/>
      <c r="HE100" s="2" t="s">
        <v>3</v>
      </c>
      <c r="HF100" s="2" t="s">
        <v>3</v>
      </c>
      <c r="HG100" s="2"/>
      <c r="HH100" s="2"/>
      <c r="HI100" s="2"/>
      <c r="HJ100" s="2"/>
      <c r="HK100" s="2"/>
      <c r="HL100" s="2"/>
      <c r="HM100" s="2" t="s">
        <v>3</v>
      </c>
      <c r="HN100" s="2" t="s">
        <v>166</v>
      </c>
      <c r="HO100" s="2" t="s">
        <v>167</v>
      </c>
      <c r="HP100" s="2" t="s">
        <v>168</v>
      </c>
      <c r="HQ100" s="2" t="s">
        <v>168</v>
      </c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45" ht="12.75">
      <c r="A101">
        <v>18</v>
      </c>
      <c r="B101">
        <v>1</v>
      </c>
      <c r="C101">
        <v>220</v>
      </c>
      <c r="E101" t="s">
        <v>200</v>
      </c>
      <c r="F101" t="s">
        <v>144</v>
      </c>
      <c r="G101" t="s">
        <v>478</v>
      </c>
      <c r="H101" t="s">
        <v>170</v>
      </c>
      <c r="I101">
        <f>I99*J101</f>
        <v>2</v>
      </c>
      <c r="J101">
        <v>35.714285714285715</v>
      </c>
      <c r="K101">
        <v>35.714286</v>
      </c>
      <c r="O101">
        <f t="shared" si="111"/>
        <v>208320</v>
      </c>
      <c r="P101">
        <f t="shared" si="112"/>
        <v>208320</v>
      </c>
      <c r="Q101">
        <f t="shared" si="113"/>
        <v>0</v>
      </c>
      <c r="R101">
        <f t="shared" si="114"/>
        <v>0</v>
      </c>
      <c r="S101">
        <f t="shared" si="115"/>
        <v>0</v>
      </c>
      <c r="T101">
        <f t="shared" si="116"/>
        <v>0</v>
      </c>
      <c r="U101">
        <f t="shared" si="117"/>
        <v>0</v>
      </c>
      <c r="V101">
        <f t="shared" si="118"/>
        <v>0</v>
      </c>
      <c r="W101">
        <f t="shared" si="119"/>
        <v>0</v>
      </c>
      <c r="X101">
        <f t="shared" si="120"/>
        <v>0</v>
      </c>
      <c r="Y101">
        <f t="shared" si="121"/>
        <v>0</v>
      </c>
      <c r="AA101">
        <v>55657272</v>
      </c>
      <c r="AB101">
        <f t="shared" si="122"/>
        <v>104160</v>
      </c>
      <c r="AC101">
        <f t="shared" si="75"/>
        <v>104160</v>
      </c>
      <c r="AD101">
        <f>ROUND((((ET101)-(EU101))+AE101),2)</f>
        <v>0</v>
      </c>
      <c r="AE101">
        <f>ROUND((EU101),2)</f>
        <v>0</v>
      </c>
      <c r="AF101">
        <f>ROUND((EV101),2)</f>
        <v>0</v>
      </c>
      <c r="AG101">
        <f t="shared" si="123"/>
        <v>0</v>
      </c>
      <c r="AH101">
        <f>(EW101)</f>
        <v>0</v>
      </c>
      <c r="AI101">
        <f>(EX101)</f>
        <v>0</v>
      </c>
      <c r="AJ101">
        <f t="shared" si="124"/>
        <v>0</v>
      </c>
      <c r="AK101">
        <v>104160</v>
      </c>
      <c r="AL101">
        <v>104160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46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1</v>
      </c>
      <c r="BH101">
        <v>3</v>
      </c>
      <c r="BI101">
        <v>2</v>
      </c>
      <c r="BM101">
        <v>110007</v>
      </c>
      <c r="BN101">
        <v>0</v>
      </c>
      <c r="BP101">
        <v>0</v>
      </c>
      <c r="BQ101">
        <v>3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90</v>
      </c>
      <c r="CA101">
        <v>46</v>
      </c>
      <c r="CE101">
        <v>0</v>
      </c>
      <c r="CF101">
        <v>0</v>
      </c>
      <c r="CG101">
        <v>0</v>
      </c>
      <c r="CM101">
        <v>0</v>
      </c>
      <c r="CO101">
        <v>0</v>
      </c>
      <c r="CP101">
        <f t="shared" si="125"/>
        <v>208320</v>
      </c>
      <c r="CQ101">
        <f t="shared" si="126"/>
        <v>104160</v>
      </c>
      <c r="CR101">
        <f>(((ET101)*BB101-(EU101)*BS101)+AE101*BS101)</f>
        <v>0</v>
      </c>
      <c r="CS101">
        <f t="shared" si="127"/>
        <v>0</v>
      </c>
      <c r="CT101">
        <f t="shared" si="128"/>
        <v>0</v>
      </c>
      <c r="CU101">
        <f t="shared" si="129"/>
        <v>0</v>
      </c>
      <c r="CV101">
        <f t="shared" si="130"/>
        <v>0</v>
      </c>
      <c r="CW101">
        <f t="shared" si="131"/>
        <v>0</v>
      </c>
      <c r="CX101">
        <f t="shared" si="132"/>
        <v>0</v>
      </c>
      <c r="CY101">
        <f t="shared" si="133"/>
        <v>0</v>
      </c>
      <c r="CZ101">
        <f t="shared" si="134"/>
        <v>0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170</v>
      </c>
      <c r="DW101" t="s">
        <v>170</v>
      </c>
      <c r="DX101">
        <v>1</v>
      </c>
      <c r="EE101">
        <v>55471563</v>
      </c>
      <c r="EF101">
        <v>3</v>
      </c>
      <c r="EG101" t="s">
        <v>163</v>
      </c>
      <c r="EH101">
        <v>0</v>
      </c>
      <c r="EJ101">
        <v>2</v>
      </c>
      <c r="EK101">
        <v>110007</v>
      </c>
      <c r="EL101" t="s">
        <v>164</v>
      </c>
      <c r="EM101" t="s">
        <v>165</v>
      </c>
      <c r="EQ101">
        <v>0</v>
      </c>
      <c r="ER101">
        <v>0</v>
      </c>
      <c r="ES101">
        <v>104160</v>
      </c>
      <c r="ET101">
        <v>0</v>
      </c>
      <c r="EU101">
        <v>0</v>
      </c>
      <c r="EV101">
        <v>0</v>
      </c>
      <c r="EW101">
        <v>0</v>
      </c>
      <c r="EX101">
        <v>0</v>
      </c>
      <c r="FQ101">
        <v>0</v>
      </c>
      <c r="FR101">
        <f t="shared" si="135"/>
        <v>0</v>
      </c>
      <c r="FS101">
        <v>0</v>
      </c>
      <c r="FX101">
        <v>90</v>
      </c>
      <c r="FY101">
        <v>46</v>
      </c>
      <c r="GA101" t="s">
        <v>147</v>
      </c>
      <c r="GD101">
        <v>1</v>
      </c>
      <c r="GF101">
        <v>-1944874667</v>
      </c>
      <c r="GG101">
        <v>2</v>
      </c>
      <c r="GH101">
        <v>2</v>
      </c>
      <c r="GI101">
        <v>3</v>
      </c>
      <c r="GJ101">
        <v>0</v>
      </c>
      <c r="GK101">
        <v>0</v>
      </c>
      <c r="GL101">
        <f t="shared" si="136"/>
        <v>0</v>
      </c>
      <c r="GM101">
        <f t="shared" si="137"/>
        <v>208320</v>
      </c>
      <c r="GN101">
        <f t="shared" si="138"/>
        <v>0</v>
      </c>
      <c r="GO101">
        <f t="shared" si="139"/>
        <v>208320</v>
      </c>
      <c r="GP101">
        <f t="shared" si="140"/>
        <v>0</v>
      </c>
      <c r="GR101">
        <v>0</v>
      </c>
      <c r="GS101">
        <v>4</v>
      </c>
      <c r="GT101">
        <v>0</v>
      </c>
      <c r="GV101">
        <f t="shared" si="141"/>
        <v>0</v>
      </c>
      <c r="GW101">
        <v>1</v>
      </c>
      <c r="GX101">
        <f t="shared" si="142"/>
        <v>0</v>
      </c>
      <c r="HA101">
        <v>0</v>
      </c>
      <c r="HB101">
        <v>0</v>
      </c>
      <c r="HC101">
        <f t="shared" si="143"/>
        <v>0</v>
      </c>
      <c r="HN101" t="s">
        <v>166</v>
      </c>
      <c r="HO101" t="s">
        <v>167</v>
      </c>
      <c r="HP101" t="s">
        <v>168</v>
      </c>
      <c r="HQ101" t="s">
        <v>168</v>
      </c>
      <c r="IK101">
        <v>0</v>
      </c>
    </row>
    <row r="102" spans="1:255" ht="12.75">
      <c r="A102" s="2">
        <v>17</v>
      </c>
      <c r="B102" s="2">
        <v>1</v>
      </c>
      <c r="C102" s="2">
        <f>ROW(SmtRes!A225)</f>
        <v>225</v>
      </c>
      <c r="D102" s="2">
        <f>ROW(EtalonRes!A238)</f>
        <v>238</v>
      </c>
      <c r="E102" s="2" t="s">
        <v>201</v>
      </c>
      <c r="F102" s="2" t="s">
        <v>202</v>
      </c>
      <c r="G102" s="2" t="s">
        <v>203</v>
      </c>
      <c r="H102" s="2" t="s">
        <v>204</v>
      </c>
      <c r="I102" s="2">
        <f>ROUND(2/100,7)</f>
        <v>0.02</v>
      </c>
      <c r="J102" s="2">
        <v>0</v>
      </c>
      <c r="K102" s="2">
        <f>ROUND(2/100,7)</f>
        <v>0.02</v>
      </c>
      <c r="L102" s="2"/>
      <c r="M102" s="2"/>
      <c r="N102" s="2"/>
      <c r="O102" s="2">
        <f t="shared" si="111"/>
        <v>6.19</v>
      </c>
      <c r="P102" s="2">
        <f t="shared" si="112"/>
        <v>0.04</v>
      </c>
      <c r="Q102" s="2">
        <f t="shared" si="113"/>
        <v>0.34</v>
      </c>
      <c r="R102" s="2">
        <f t="shared" si="114"/>
        <v>0.05</v>
      </c>
      <c r="S102" s="2">
        <f t="shared" si="115"/>
        <v>5.81</v>
      </c>
      <c r="T102" s="2">
        <f t="shared" si="116"/>
        <v>0</v>
      </c>
      <c r="U102" s="2">
        <f t="shared" si="117"/>
        <v>0.61088</v>
      </c>
      <c r="V102" s="2">
        <f t="shared" si="118"/>
        <v>0.0035000000000000005</v>
      </c>
      <c r="W102" s="2">
        <f t="shared" si="119"/>
        <v>0</v>
      </c>
      <c r="X102" s="2">
        <f t="shared" si="120"/>
        <v>6.33</v>
      </c>
      <c r="Y102" s="2">
        <f t="shared" si="121"/>
        <v>2.74</v>
      </c>
      <c r="Z102" s="2"/>
      <c r="AA102" s="2">
        <v>55656218</v>
      </c>
      <c r="AB102" s="2">
        <f t="shared" si="122"/>
        <v>309.78</v>
      </c>
      <c r="AC102" s="2">
        <f t="shared" si="75"/>
        <v>2.2</v>
      </c>
      <c r="AD102" s="2">
        <f>ROUND(((((ET102*ROUND(1.25,7)))-((EU102*ROUND(1.25,7))))+AE102),2)</f>
        <v>17.1</v>
      </c>
      <c r="AE102" s="2">
        <f>ROUND(((EU102*ROUND(1.25,7))),2)</f>
        <v>2.25</v>
      </c>
      <c r="AF102" s="2">
        <f>ROUND(((EV102*ROUND(1.15,7))),2)</f>
        <v>290.48</v>
      </c>
      <c r="AG102" s="2">
        <f t="shared" si="123"/>
        <v>0</v>
      </c>
      <c r="AH102" s="2">
        <f>((EW102*ROUND(1.15,7)))</f>
        <v>30.543999999999997</v>
      </c>
      <c r="AI102" s="2">
        <f>((EX102*ROUND(1.25,7)))</f>
        <v>0.17500000000000002</v>
      </c>
      <c r="AJ102" s="2">
        <f t="shared" si="124"/>
        <v>0</v>
      </c>
      <c r="AK102" s="2">
        <v>268.47</v>
      </c>
      <c r="AL102" s="2">
        <v>2.2</v>
      </c>
      <c r="AM102" s="2">
        <v>13.68</v>
      </c>
      <c r="AN102" s="2">
        <v>1.8</v>
      </c>
      <c r="AO102" s="2">
        <v>252.59</v>
      </c>
      <c r="AP102" s="2">
        <v>0</v>
      </c>
      <c r="AQ102" s="2">
        <v>26.56</v>
      </c>
      <c r="AR102" s="2">
        <v>0.14</v>
      </c>
      <c r="AS102" s="2">
        <v>0</v>
      </c>
      <c r="AT102" s="2">
        <v>108</v>
      </c>
      <c r="AU102" s="2">
        <v>46.75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3</v>
      </c>
      <c r="BE102" s="2" t="s">
        <v>3</v>
      </c>
      <c r="BF102" s="2" t="s">
        <v>3</v>
      </c>
      <c r="BG102" s="2" t="s">
        <v>3</v>
      </c>
      <c r="BH102" s="2">
        <v>0</v>
      </c>
      <c r="BI102" s="2">
        <v>1</v>
      </c>
      <c r="BJ102" s="2" t="s">
        <v>205</v>
      </c>
      <c r="BK102" s="2"/>
      <c r="BL102" s="2"/>
      <c r="BM102" s="2">
        <v>10001</v>
      </c>
      <c r="BN102" s="2">
        <v>0</v>
      </c>
      <c r="BO102" s="2" t="s">
        <v>3</v>
      </c>
      <c r="BP102" s="2">
        <v>0</v>
      </c>
      <c r="BQ102" s="2">
        <v>2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3</v>
      </c>
      <c r="BZ102" s="2">
        <v>108</v>
      </c>
      <c r="CA102" s="2">
        <v>55</v>
      </c>
      <c r="CB102" s="2" t="s">
        <v>3</v>
      </c>
      <c r="CC102" s="2"/>
      <c r="CD102" s="2"/>
      <c r="CE102" s="2">
        <v>0</v>
      </c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475</v>
      </c>
      <c r="CO102" s="2">
        <v>0</v>
      </c>
      <c r="CP102" s="2">
        <f t="shared" si="125"/>
        <v>6.1899999999999995</v>
      </c>
      <c r="CQ102" s="2">
        <f t="shared" si="126"/>
        <v>2.2</v>
      </c>
      <c r="CR102" s="2">
        <f>((((ET102*ROUND(1.25,7)))*BB102-((EU102*ROUND(1.25,7)))*BS102)+AE102*BS102)</f>
        <v>17.1</v>
      </c>
      <c r="CS102" s="2">
        <f t="shared" si="127"/>
        <v>2.25</v>
      </c>
      <c r="CT102" s="2">
        <f t="shared" si="128"/>
        <v>290.48</v>
      </c>
      <c r="CU102" s="2">
        <f t="shared" si="129"/>
        <v>0</v>
      </c>
      <c r="CV102" s="2">
        <f t="shared" si="130"/>
        <v>30.543999999999997</v>
      </c>
      <c r="CW102" s="2">
        <f t="shared" si="131"/>
        <v>0.17500000000000002</v>
      </c>
      <c r="CX102" s="2">
        <f t="shared" si="132"/>
        <v>0</v>
      </c>
      <c r="CY102" s="2">
        <f t="shared" si="133"/>
        <v>6.328799999999998</v>
      </c>
      <c r="CZ102" s="2">
        <f t="shared" si="134"/>
        <v>2.73955</v>
      </c>
      <c r="DA102" s="2"/>
      <c r="DB102" s="2"/>
      <c r="DC102" s="2" t="s">
        <v>3</v>
      </c>
      <c r="DD102" s="2" t="s">
        <v>3</v>
      </c>
      <c r="DE102" s="2" t="s">
        <v>117</v>
      </c>
      <c r="DF102" s="2" t="s">
        <v>117</v>
      </c>
      <c r="DG102" s="2" t="s">
        <v>118</v>
      </c>
      <c r="DH102" s="2" t="s">
        <v>3</v>
      </c>
      <c r="DI102" s="2" t="s">
        <v>118</v>
      </c>
      <c r="DJ102" s="2" t="s">
        <v>117</v>
      </c>
      <c r="DK102" s="2" t="s">
        <v>3</v>
      </c>
      <c r="DL102" s="2" t="s">
        <v>3</v>
      </c>
      <c r="DM102" s="2" t="s">
        <v>119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1013</v>
      </c>
      <c r="DV102" s="2" t="s">
        <v>204</v>
      </c>
      <c r="DW102" s="2" t="s">
        <v>204</v>
      </c>
      <c r="DX102" s="2">
        <v>1</v>
      </c>
      <c r="DY102" s="2"/>
      <c r="DZ102" s="2" t="s">
        <v>3</v>
      </c>
      <c r="EA102" s="2" t="s">
        <v>3</v>
      </c>
      <c r="EB102" s="2" t="s">
        <v>3</v>
      </c>
      <c r="EC102" s="2" t="s">
        <v>3</v>
      </c>
      <c r="ED102" s="2"/>
      <c r="EE102" s="2">
        <v>55471661</v>
      </c>
      <c r="EF102" s="2">
        <v>2</v>
      </c>
      <c r="EG102" s="2" t="s">
        <v>31</v>
      </c>
      <c r="EH102" s="2">
        <v>10</v>
      </c>
      <c r="EI102" s="2" t="s">
        <v>196</v>
      </c>
      <c r="EJ102" s="2">
        <v>1</v>
      </c>
      <c r="EK102" s="2">
        <v>10001</v>
      </c>
      <c r="EL102" s="2" t="s">
        <v>196</v>
      </c>
      <c r="EM102" s="2" t="s">
        <v>197</v>
      </c>
      <c r="EN102" s="2"/>
      <c r="EO102" s="2" t="s">
        <v>120</v>
      </c>
      <c r="EP102" s="2"/>
      <c r="EQ102" s="2">
        <v>0</v>
      </c>
      <c r="ER102" s="2">
        <v>268.47</v>
      </c>
      <c r="ES102" s="2">
        <v>2.2</v>
      </c>
      <c r="ET102" s="2">
        <v>13.68</v>
      </c>
      <c r="EU102" s="2">
        <v>1.8</v>
      </c>
      <c r="EV102" s="2">
        <v>252.59</v>
      </c>
      <c r="EW102" s="2">
        <v>26.56</v>
      </c>
      <c r="EX102" s="2">
        <v>0.14</v>
      </c>
      <c r="EY102" s="2">
        <v>0</v>
      </c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35"/>
        <v>0</v>
      </c>
      <c r="FS102" s="2">
        <v>0</v>
      </c>
      <c r="FT102" s="2"/>
      <c r="FU102" s="2"/>
      <c r="FV102" s="2"/>
      <c r="FW102" s="2"/>
      <c r="FX102" s="2">
        <v>108</v>
      </c>
      <c r="FY102" s="2">
        <v>46.75</v>
      </c>
      <c r="FZ102" s="2"/>
      <c r="GA102" s="2" t="s">
        <v>3</v>
      </c>
      <c r="GB102" s="2"/>
      <c r="GC102" s="2"/>
      <c r="GD102" s="2">
        <v>1</v>
      </c>
      <c r="GE102" s="2"/>
      <c r="GF102" s="2">
        <v>-738721225</v>
      </c>
      <c r="GG102" s="2">
        <v>2</v>
      </c>
      <c r="GH102" s="2">
        <v>1</v>
      </c>
      <c r="GI102" s="2">
        <v>-2</v>
      </c>
      <c r="GJ102" s="2">
        <v>0</v>
      </c>
      <c r="GK102" s="2">
        <v>0</v>
      </c>
      <c r="GL102" s="2">
        <f t="shared" si="136"/>
        <v>0</v>
      </c>
      <c r="GM102" s="2">
        <f t="shared" si="137"/>
        <v>15.26</v>
      </c>
      <c r="GN102" s="2">
        <f t="shared" si="138"/>
        <v>15.26</v>
      </c>
      <c r="GO102" s="2">
        <f t="shared" si="139"/>
        <v>0</v>
      </c>
      <c r="GP102" s="2">
        <f t="shared" si="140"/>
        <v>0</v>
      </c>
      <c r="GQ102" s="2"/>
      <c r="GR102" s="2">
        <v>0</v>
      </c>
      <c r="GS102" s="2">
        <v>3</v>
      </c>
      <c r="GT102" s="2">
        <v>0</v>
      </c>
      <c r="GU102" s="2" t="s">
        <v>3</v>
      </c>
      <c r="GV102" s="2">
        <f t="shared" si="141"/>
        <v>0</v>
      </c>
      <c r="GW102" s="2">
        <v>1</v>
      </c>
      <c r="GX102" s="2">
        <f t="shared" si="142"/>
        <v>0</v>
      </c>
      <c r="GY102" s="2"/>
      <c r="GZ102" s="2"/>
      <c r="HA102" s="2">
        <v>0</v>
      </c>
      <c r="HB102" s="2">
        <v>0</v>
      </c>
      <c r="HC102" s="2">
        <f t="shared" si="143"/>
        <v>0</v>
      </c>
      <c r="HD102" s="2"/>
      <c r="HE102" s="2" t="s">
        <v>3</v>
      </c>
      <c r="HF102" s="2" t="s">
        <v>3</v>
      </c>
      <c r="HG102" s="2"/>
      <c r="HH102" s="2"/>
      <c r="HI102" s="2"/>
      <c r="HJ102" s="2"/>
      <c r="HK102" s="2"/>
      <c r="HL102" s="2"/>
      <c r="HM102" s="2" t="s">
        <v>3</v>
      </c>
      <c r="HN102" s="2" t="s">
        <v>198</v>
      </c>
      <c r="HO102" s="2" t="s">
        <v>199</v>
      </c>
      <c r="HP102" s="2" t="s">
        <v>196</v>
      </c>
      <c r="HQ102" s="2" t="s">
        <v>196</v>
      </c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45" ht="12.75">
      <c r="A103">
        <v>17</v>
      </c>
      <c r="B103">
        <v>1</v>
      </c>
      <c r="C103">
        <f>ROW(SmtRes!A230)</f>
        <v>230</v>
      </c>
      <c r="D103">
        <f>ROW(EtalonRes!A244)</f>
        <v>244</v>
      </c>
      <c r="E103" t="s">
        <v>201</v>
      </c>
      <c r="F103" t="s">
        <v>202</v>
      </c>
      <c r="G103" t="s">
        <v>203</v>
      </c>
      <c r="H103" t="s">
        <v>204</v>
      </c>
      <c r="I103">
        <f>ROUND(2/100,7)</f>
        <v>0.02</v>
      </c>
      <c r="J103">
        <v>0</v>
      </c>
      <c r="K103">
        <f>ROUND(2/100,7)</f>
        <v>0.02</v>
      </c>
      <c r="O103">
        <f t="shared" si="111"/>
        <v>221.76</v>
      </c>
      <c r="P103">
        <f t="shared" si="112"/>
        <v>0.3</v>
      </c>
      <c r="Q103">
        <f t="shared" si="113"/>
        <v>4.53</v>
      </c>
      <c r="R103">
        <f t="shared" si="114"/>
        <v>1.68</v>
      </c>
      <c r="S103">
        <f t="shared" si="115"/>
        <v>216.93</v>
      </c>
      <c r="T103">
        <f t="shared" si="116"/>
        <v>0</v>
      </c>
      <c r="U103">
        <f t="shared" si="117"/>
        <v>0.61088</v>
      </c>
      <c r="V103">
        <f t="shared" si="118"/>
        <v>0.0035000000000000005</v>
      </c>
      <c r="W103">
        <f t="shared" si="119"/>
        <v>0</v>
      </c>
      <c r="X103">
        <f t="shared" si="120"/>
        <v>236.1</v>
      </c>
      <c r="Y103">
        <f t="shared" si="121"/>
        <v>102.2</v>
      </c>
      <c r="AA103">
        <v>55657272</v>
      </c>
      <c r="AB103">
        <f t="shared" si="122"/>
        <v>309.78</v>
      </c>
      <c r="AC103">
        <f t="shared" si="75"/>
        <v>2.2</v>
      </c>
      <c r="AD103">
        <f>ROUND(((((ET103*ROUND(1.25,7)))-((EU103*ROUND(1.25,7))))+AE103),2)</f>
        <v>17.1</v>
      </c>
      <c r="AE103">
        <f>ROUND(((EU103*ROUND(1.25,7))),2)</f>
        <v>2.25</v>
      </c>
      <c r="AF103">
        <f>ROUND(((EV103*ROUND(1.15,7))),2)</f>
        <v>290.48</v>
      </c>
      <c r="AG103">
        <f t="shared" si="123"/>
        <v>0</v>
      </c>
      <c r="AH103">
        <f>((EW103*ROUND(1.15,7)))</f>
        <v>30.543999999999997</v>
      </c>
      <c r="AI103">
        <f>((EX103*ROUND(1.25,7)))</f>
        <v>0.17500000000000002</v>
      </c>
      <c r="AJ103">
        <f t="shared" si="124"/>
        <v>0</v>
      </c>
      <c r="AK103">
        <v>268.47</v>
      </c>
      <c r="AL103">
        <v>2.2</v>
      </c>
      <c r="AM103">
        <v>13.68</v>
      </c>
      <c r="AN103">
        <v>1.8</v>
      </c>
      <c r="AO103">
        <v>252.59</v>
      </c>
      <c r="AP103">
        <v>0</v>
      </c>
      <c r="AQ103">
        <v>26.56</v>
      </c>
      <c r="AR103">
        <v>0.14</v>
      </c>
      <c r="AS103">
        <v>0</v>
      </c>
      <c r="AT103">
        <v>108</v>
      </c>
      <c r="AU103">
        <v>46.75</v>
      </c>
      <c r="AV103">
        <v>1</v>
      </c>
      <c r="AW103">
        <v>1</v>
      </c>
      <c r="AZ103">
        <v>1</v>
      </c>
      <c r="BA103">
        <v>37.34</v>
      </c>
      <c r="BB103">
        <v>13.24</v>
      </c>
      <c r="BC103">
        <v>6.72</v>
      </c>
      <c r="BH103">
        <v>0</v>
      </c>
      <c r="BI103">
        <v>1</v>
      </c>
      <c r="BJ103" t="s">
        <v>205</v>
      </c>
      <c r="BM103">
        <v>10001</v>
      </c>
      <c r="BN103">
        <v>0</v>
      </c>
      <c r="BO103" t="s">
        <v>37</v>
      </c>
      <c r="BP103">
        <v>1</v>
      </c>
      <c r="BQ103">
        <v>2</v>
      </c>
      <c r="BR103">
        <v>0</v>
      </c>
      <c r="BS103">
        <v>37.34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108</v>
      </c>
      <c r="CA103">
        <v>55</v>
      </c>
      <c r="CE103">
        <v>0</v>
      </c>
      <c r="CF103">
        <v>0</v>
      </c>
      <c r="CG103">
        <v>0</v>
      </c>
      <c r="CM103">
        <v>0</v>
      </c>
      <c r="CN103" t="s">
        <v>475</v>
      </c>
      <c r="CO103">
        <v>0</v>
      </c>
      <c r="CP103">
        <f t="shared" si="125"/>
        <v>221.76000000000002</v>
      </c>
      <c r="CQ103">
        <f t="shared" si="126"/>
        <v>14.784</v>
      </c>
      <c r="CR103">
        <f>((((ET103*ROUND(1.25,7)))*BB103-((EU103*ROUND(1.25,7)))*BS103)+AE103*BS103)</f>
        <v>226.40400000000002</v>
      </c>
      <c r="CS103">
        <f t="shared" si="127"/>
        <v>84.01500000000001</v>
      </c>
      <c r="CT103">
        <f t="shared" si="128"/>
        <v>10846.523200000001</v>
      </c>
      <c r="CU103">
        <f t="shared" si="129"/>
        <v>0</v>
      </c>
      <c r="CV103">
        <f t="shared" si="130"/>
        <v>30.543999999999997</v>
      </c>
      <c r="CW103">
        <f t="shared" si="131"/>
        <v>0.17500000000000002</v>
      </c>
      <c r="CX103">
        <f t="shared" si="132"/>
        <v>0</v>
      </c>
      <c r="CY103">
        <f t="shared" si="133"/>
        <v>236.0988</v>
      </c>
      <c r="CZ103">
        <f t="shared" si="134"/>
        <v>102.200175</v>
      </c>
      <c r="DE103" t="s">
        <v>117</v>
      </c>
      <c r="DF103" t="s">
        <v>117</v>
      </c>
      <c r="DG103" t="s">
        <v>118</v>
      </c>
      <c r="DI103" t="s">
        <v>118</v>
      </c>
      <c r="DJ103" t="s">
        <v>117</v>
      </c>
      <c r="DM103" t="s">
        <v>119</v>
      </c>
      <c r="DN103">
        <v>0</v>
      </c>
      <c r="DO103">
        <v>0</v>
      </c>
      <c r="DP103">
        <v>1</v>
      </c>
      <c r="DQ103">
        <v>1</v>
      </c>
      <c r="DU103">
        <v>1013</v>
      </c>
      <c r="DV103" t="s">
        <v>204</v>
      </c>
      <c r="DW103" t="s">
        <v>204</v>
      </c>
      <c r="DX103">
        <v>1</v>
      </c>
      <c r="EE103">
        <v>55471661</v>
      </c>
      <c r="EF103">
        <v>2</v>
      </c>
      <c r="EG103" t="s">
        <v>31</v>
      </c>
      <c r="EH103">
        <v>10</v>
      </c>
      <c r="EI103" t="s">
        <v>196</v>
      </c>
      <c r="EJ103">
        <v>1</v>
      </c>
      <c r="EK103">
        <v>10001</v>
      </c>
      <c r="EL103" t="s">
        <v>196</v>
      </c>
      <c r="EM103" t="s">
        <v>197</v>
      </c>
      <c r="EO103" t="s">
        <v>120</v>
      </c>
      <c r="EQ103">
        <v>0</v>
      </c>
      <c r="ER103">
        <v>268.47</v>
      </c>
      <c r="ES103">
        <v>2.2</v>
      </c>
      <c r="ET103">
        <v>13.68</v>
      </c>
      <c r="EU103">
        <v>1.8</v>
      </c>
      <c r="EV103">
        <v>252.59</v>
      </c>
      <c r="EW103">
        <v>26.56</v>
      </c>
      <c r="EX103">
        <v>0.14</v>
      </c>
      <c r="EY103">
        <v>0</v>
      </c>
      <c r="FQ103">
        <v>0</v>
      </c>
      <c r="FR103">
        <f t="shared" si="135"/>
        <v>0</v>
      </c>
      <c r="FS103">
        <v>0</v>
      </c>
      <c r="FX103">
        <v>108</v>
      </c>
      <c r="FY103">
        <v>46.75</v>
      </c>
      <c r="GD103">
        <v>1</v>
      </c>
      <c r="GF103">
        <v>-738721225</v>
      </c>
      <c r="GG103">
        <v>2</v>
      </c>
      <c r="GH103">
        <v>1</v>
      </c>
      <c r="GI103">
        <v>4</v>
      </c>
      <c r="GJ103">
        <v>0</v>
      </c>
      <c r="GK103">
        <v>0</v>
      </c>
      <c r="GL103">
        <f t="shared" si="136"/>
        <v>0</v>
      </c>
      <c r="GM103">
        <f t="shared" si="137"/>
        <v>560.06</v>
      </c>
      <c r="GN103">
        <f t="shared" si="138"/>
        <v>560.06</v>
      </c>
      <c r="GO103">
        <f t="shared" si="139"/>
        <v>0</v>
      </c>
      <c r="GP103">
        <f t="shared" si="140"/>
        <v>0</v>
      </c>
      <c r="GR103">
        <v>0</v>
      </c>
      <c r="GS103">
        <v>3</v>
      </c>
      <c r="GT103">
        <v>0</v>
      </c>
      <c r="GV103">
        <f t="shared" si="141"/>
        <v>0</v>
      </c>
      <c r="GW103">
        <v>1</v>
      </c>
      <c r="GX103">
        <f t="shared" si="142"/>
        <v>0</v>
      </c>
      <c r="HA103">
        <v>0</v>
      </c>
      <c r="HB103">
        <v>0</v>
      </c>
      <c r="HC103">
        <f t="shared" si="143"/>
        <v>0</v>
      </c>
      <c r="HN103" t="s">
        <v>198</v>
      </c>
      <c r="HO103" t="s">
        <v>199</v>
      </c>
      <c r="HP103" t="s">
        <v>196</v>
      </c>
      <c r="HQ103" t="s">
        <v>196</v>
      </c>
      <c r="IK103">
        <v>0</v>
      </c>
    </row>
    <row r="105" spans="1:206" ht="12.75">
      <c r="A105" s="3">
        <v>51</v>
      </c>
      <c r="B105" s="3">
        <f>B24</f>
        <v>1</v>
      </c>
      <c r="C105" s="3">
        <f>A24</f>
        <v>4</v>
      </c>
      <c r="D105" s="3">
        <f>ROW(A24)</f>
        <v>24</v>
      </c>
      <c r="E105" s="3"/>
      <c r="F105" s="3" t="str">
        <f>IF(F24&lt;&gt;"",F24,"")</f>
        <v>Новый раздел</v>
      </c>
      <c r="G105" s="3" t="str">
        <f>IF(G24&lt;&gt;"",G24,"")</f>
        <v>Ремонтные работы</v>
      </c>
      <c r="H105" s="3">
        <v>0</v>
      </c>
      <c r="I105" s="3"/>
      <c r="J105" s="3"/>
      <c r="K105" s="3"/>
      <c r="L105" s="3"/>
      <c r="M105" s="3"/>
      <c r="N105" s="3"/>
      <c r="O105" s="3">
        <f aca="true" t="shared" si="144" ref="O105:T105">ROUND(AB105,2)</f>
        <v>2617399.06</v>
      </c>
      <c r="P105" s="3">
        <f t="shared" si="144"/>
        <v>2613184.26</v>
      </c>
      <c r="Q105" s="3">
        <f t="shared" si="144"/>
        <v>945.32</v>
      </c>
      <c r="R105" s="3">
        <f t="shared" si="144"/>
        <v>110.2</v>
      </c>
      <c r="S105" s="3">
        <f t="shared" si="144"/>
        <v>3269.48</v>
      </c>
      <c r="T105" s="3">
        <f t="shared" si="144"/>
        <v>0</v>
      </c>
      <c r="U105" s="3">
        <f>AH105</f>
        <v>331.60513999999995</v>
      </c>
      <c r="V105" s="3">
        <f>AI105</f>
        <v>8.718285</v>
      </c>
      <c r="W105" s="3">
        <f>ROUND(AJ105,2)</f>
        <v>0</v>
      </c>
      <c r="X105" s="3">
        <f>ROUND(AK105,2)</f>
        <v>3162.52</v>
      </c>
      <c r="Y105" s="3">
        <f>ROUND(AL105,2)</f>
        <v>1878.88</v>
      </c>
      <c r="Z105" s="3"/>
      <c r="AA105" s="3"/>
      <c r="AB105" s="3">
        <f>ROUND(SUMIF(AA28:AA103,"=55656218",O28:O103),2)</f>
        <v>2617399.06</v>
      </c>
      <c r="AC105" s="3">
        <f>ROUND(SUMIF(AA28:AA103,"=55656218",P28:P103),2)</f>
        <v>2613184.26</v>
      </c>
      <c r="AD105" s="3">
        <f>ROUND(SUMIF(AA28:AA103,"=55656218",Q28:Q103),2)</f>
        <v>945.32</v>
      </c>
      <c r="AE105" s="3">
        <f>ROUND(SUMIF(AA28:AA103,"=55656218",R28:R103),2)</f>
        <v>110.2</v>
      </c>
      <c r="AF105" s="3">
        <f>ROUND(SUMIF(AA28:AA103,"=55656218",S28:S103),2)</f>
        <v>3269.48</v>
      </c>
      <c r="AG105" s="3">
        <f>ROUND(SUMIF(AA28:AA103,"=55656218",T28:T103),2)</f>
        <v>0</v>
      </c>
      <c r="AH105" s="3">
        <f>SUMIF(AA28:AA103,"=55656218",U28:U103)</f>
        <v>331.60513999999995</v>
      </c>
      <c r="AI105" s="3">
        <f>SUMIF(AA28:AA103,"=55656218",V28:V103)</f>
        <v>8.718285</v>
      </c>
      <c r="AJ105" s="3">
        <f>ROUND(SUMIF(AA28:AA103,"=55656218",W28:W103),2)</f>
        <v>0</v>
      </c>
      <c r="AK105" s="3">
        <f>ROUND(SUMIF(AA28:AA103,"=55656218",X28:X103),2)</f>
        <v>3162.52</v>
      </c>
      <c r="AL105" s="3">
        <f>ROUND(SUMIF(AA28:AA103,"=55656218",Y28:Y103),2)</f>
        <v>1878.88</v>
      </c>
      <c r="AM105" s="3"/>
      <c r="AN105" s="3"/>
      <c r="AO105" s="3">
        <f aca="true" t="shared" si="145" ref="AO105:BD105">ROUND(BX105,2)</f>
        <v>0</v>
      </c>
      <c r="AP105" s="3">
        <f t="shared" si="145"/>
        <v>0</v>
      </c>
      <c r="AQ105" s="3">
        <f t="shared" si="145"/>
        <v>0</v>
      </c>
      <c r="AR105" s="3">
        <f t="shared" si="145"/>
        <v>2622440.46</v>
      </c>
      <c r="AS105" s="3">
        <f t="shared" si="145"/>
        <v>1454442.78</v>
      </c>
      <c r="AT105" s="3">
        <f t="shared" si="145"/>
        <v>1167997.68</v>
      </c>
      <c r="AU105" s="3">
        <f t="shared" si="145"/>
        <v>0</v>
      </c>
      <c r="AV105" s="3">
        <f t="shared" si="145"/>
        <v>2613184.26</v>
      </c>
      <c r="AW105" s="3">
        <f t="shared" si="145"/>
        <v>2613184.26</v>
      </c>
      <c r="AX105" s="3">
        <f t="shared" si="145"/>
        <v>0</v>
      </c>
      <c r="AY105" s="3">
        <f t="shared" si="145"/>
        <v>2613184.26</v>
      </c>
      <c r="AZ105" s="3">
        <f t="shared" si="145"/>
        <v>0</v>
      </c>
      <c r="BA105" s="3">
        <f t="shared" si="145"/>
        <v>0</v>
      </c>
      <c r="BB105" s="3">
        <f t="shared" si="145"/>
        <v>0</v>
      </c>
      <c r="BC105" s="3">
        <f t="shared" si="145"/>
        <v>0</v>
      </c>
      <c r="BD105" s="3">
        <f t="shared" si="145"/>
        <v>0</v>
      </c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>
        <f>ROUND(SUMIF(AA28:AA103,"=55656218",FQ28:FQ103),2)</f>
        <v>0</v>
      </c>
      <c r="BY105" s="3">
        <f>ROUND(SUMIF(AA28:AA103,"=55656218",FR28:FR103),2)</f>
        <v>0</v>
      </c>
      <c r="BZ105" s="3">
        <f>ROUND(SUMIF(AA28:AA103,"=55656218",GL28:GL103),2)</f>
        <v>0</v>
      </c>
      <c r="CA105" s="3">
        <f>ROUND(SUMIF(AA28:AA103,"=55656218",GM28:GM103),2)</f>
        <v>2622440.46</v>
      </c>
      <c r="CB105" s="3">
        <f>ROUND(SUMIF(AA28:AA103,"=55656218",GN28:GN103),2)</f>
        <v>1454442.78</v>
      </c>
      <c r="CC105" s="3">
        <f>ROUND(SUMIF(AA28:AA103,"=55656218",GO28:GO103),2)</f>
        <v>1167997.68</v>
      </c>
      <c r="CD105" s="3">
        <f>ROUND(SUMIF(AA28:AA103,"=55656218",GP28:GP103),2)</f>
        <v>0</v>
      </c>
      <c r="CE105" s="3">
        <f>AC105-BX105</f>
        <v>2613184.26</v>
      </c>
      <c r="CF105" s="3">
        <f>AC105-BY105</f>
        <v>2613184.26</v>
      </c>
      <c r="CG105" s="3">
        <f>BX105-BZ105</f>
        <v>0</v>
      </c>
      <c r="CH105" s="3">
        <f>AC105-BX105-BY105+BZ105</f>
        <v>2613184.26</v>
      </c>
      <c r="CI105" s="3">
        <f>BY105-BZ105</f>
        <v>0</v>
      </c>
      <c r="CJ105" s="3">
        <f>ROUND(SUMIF(AA28:AA103,"=55656218",GX28:GX103),2)</f>
        <v>0</v>
      </c>
      <c r="CK105" s="3">
        <f>ROUND(SUMIF(AA28:AA103,"=55656218",GY28:GY103),2)</f>
        <v>0</v>
      </c>
      <c r="CL105" s="3">
        <f>ROUND(SUMIF(AA28:AA103,"=55656218",GZ28:GZ103),2)</f>
        <v>0</v>
      </c>
      <c r="CM105" s="3">
        <f>ROUND(SUMIF(AA28:AA103,"=55656218",HD28:HD103),2)</f>
        <v>0</v>
      </c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4">
        <f aca="true" t="shared" si="146" ref="DG105:DL105">ROUND(DT105,2)</f>
        <v>2774084.57</v>
      </c>
      <c r="DH105" s="4">
        <f t="shared" si="146"/>
        <v>2639486.28</v>
      </c>
      <c r="DI105" s="4">
        <f t="shared" si="146"/>
        <v>12516.25</v>
      </c>
      <c r="DJ105" s="4">
        <f t="shared" si="146"/>
        <v>4114.58</v>
      </c>
      <c r="DK105" s="4">
        <f t="shared" si="146"/>
        <v>122082.04</v>
      </c>
      <c r="DL105" s="4">
        <f t="shared" si="146"/>
        <v>0</v>
      </c>
      <c r="DM105" s="4">
        <f>DZ105</f>
        <v>331.60513999999995</v>
      </c>
      <c r="DN105" s="4">
        <f>EA105</f>
        <v>8.718285</v>
      </c>
      <c r="DO105" s="4">
        <f>ROUND(EB105,2)</f>
        <v>0</v>
      </c>
      <c r="DP105" s="4">
        <f>ROUND(EC105,2)</f>
        <v>118087.68</v>
      </c>
      <c r="DQ105" s="4">
        <f>ROUND(ED105,2)</f>
        <v>70156.9</v>
      </c>
      <c r="DR105" s="4"/>
      <c r="DS105" s="4"/>
      <c r="DT105" s="4">
        <f>ROUND(SUMIF(AA28:AA103,"=55657272",O28:O103),2)</f>
        <v>2774084.57</v>
      </c>
      <c r="DU105" s="4">
        <f>ROUND(SUMIF(AA28:AA103,"=55657272",P28:P103),2)</f>
        <v>2639486.28</v>
      </c>
      <c r="DV105" s="4">
        <f>ROUND(SUMIF(AA28:AA103,"=55657272",Q28:Q103),2)</f>
        <v>12516.25</v>
      </c>
      <c r="DW105" s="4">
        <f>ROUND(SUMIF(AA28:AA103,"=55657272",R28:R103),2)</f>
        <v>4114.58</v>
      </c>
      <c r="DX105" s="4">
        <f>ROUND(SUMIF(AA28:AA103,"=55657272",S28:S103),2)</f>
        <v>122082.04</v>
      </c>
      <c r="DY105" s="4">
        <f>ROUND(SUMIF(AA28:AA103,"=55657272",T28:T103),2)</f>
        <v>0</v>
      </c>
      <c r="DZ105" s="4">
        <f>SUMIF(AA28:AA103,"=55657272",U28:U103)</f>
        <v>331.60513999999995</v>
      </c>
      <c r="EA105" s="4">
        <f>SUMIF(AA28:AA103,"=55657272",V28:V103)</f>
        <v>8.718285</v>
      </c>
      <c r="EB105" s="4">
        <f>ROUND(SUMIF(AA28:AA103,"=55657272",W28:W103),2)</f>
        <v>0</v>
      </c>
      <c r="EC105" s="4">
        <f>ROUND(SUMIF(AA28:AA103,"=55657272",X28:X103),2)</f>
        <v>118087.68</v>
      </c>
      <c r="ED105" s="4">
        <f>ROUND(SUMIF(AA28:AA103,"=55657272",Y28:Y103),2)</f>
        <v>70156.9</v>
      </c>
      <c r="EE105" s="4"/>
      <c r="EF105" s="4"/>
      <c r="EG105" s="4">
        <f aca="true" t="shared" si="147" ref="EG105:EV105">ROUND(FP105,2)</f>
        <v>0</v>
      </c>
      <c r="EH105" s="4">
        <f t="shared" si="147"/>
        <v>0</v>
      </c>
      <c r="EI105" s="4">
        <f t="shared" si="147"/>
        <v>0</v>
      </c>
      <c r="EJ105" s="4">
        <f t="shared" si="147"/>
        <v>2962329.15</v>
      </c>
      <c r="EK105" s="4">
        <f t="shared" si="147"/>
        <v>1776371.09</v>
      </c>
      <c r="EL105" s="4">
        <f t="shared" si="147"/>
        <v>1185958.06</v>
      </c>
      <c r="EM105" s="4">
        <f t="shared" si="147"/>
        <v>0</v>
      </c>
      <c r="EN105" s="4">
        <f t="shared" si="147"/>
        <v>2639486.28</v>
      </c>
      <c r="EO105" s="4">
        <f t="shared" si="147"/>
        <v>2639486.28</v>
      </c>
      <c r="EP105" s="4">
        <f t="shared" si="147"/>
        <v>0</v>
      </c>
      <c r="EQ105" s="4">
        <f t="shared" si="147"/>
        <v>2639486.28</v>
      </c>
      <c r="ER105" s="4">
        <f t="shared" si="147"/>
        <v>0</v>
      </c>
      <c r="ES105" s="4">
        <f t="shared" si="147"/>
        <v>0</v>
      </c>
      <c r="ET105" s="4">
        <f t="shared" si="147"/>
        <v>0</v>
      </c>
      <c r="EU105" s="4">
        <f t="shared" si="147"/>
        <v>0</v>
      </c>
      <c r="EV105" s="4">
        <f t="shared" si="147"/>
        <v>0</v>
      </c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>
        <f>ROUND(SUMIF(AA28:AA103,"=55657272",FQ28:FQ103),2)</f>
        <v>0</v>
      </c>
      <c r="FQ105" s="4">
        <f>ROUND(SUMIF(AA28:AA103,"=55657272",FR28:FR103),2)</f>
        <v>0</v>
      </c>
      <c r="FR105" s="4">
        <f>ROUND(SUMIF(AA28:AA103,"=55657272",GL28:GL103),2)</f>
        <v>0</v>
      </c>
      <c r="FS105" s="4">
        <f>ROUND(SUMIF(AA28:AA103,"=55657272",GM28:GM103),2)</f>
        <v>2962329.15</v>
      </c>
      <c r="FT105" s="4">
        <f>ROUND(SUMIF(AA28:AA103,"=55657272",GN28:GN103),2)</f>
        <v>1776371.09</v>
      </c>
      <c r="FU105" s="4">
        <f>ROUND(SUMIF(AA28:AA103,"=55657272",GO28:GO103),2)</f>
        <v>1185958.06</v>
      </c>
      <c r="FV105" s="4">
        <f>ROUND(SUMIF(AA28:AA103,"=55657272",GP28:GP103),2)</f>
        <v>0</v>
      </c>
      <c r="FW105" s="4">
        <f>DU105-FP105</f>
        <v>2639486.28</v>
      </c>
      <c r="FX105" s="4">
        <f>DU105-FQ105</f>
        <v>2639486.28</v>
      </c>
      <c r="FY105" s="4">
        <f>FP105-FR105</f>
        <v>0</v>
      </c>
      <c r="FZ105" s="4">
        <f>DU105-FP105-FQ105+FR105</f>
        <v>2639486.28</v>
      </c>
      <c r="GA105" s="4">
        <f>FQ105-FR105</f>
        <v>0</v>
      </c>
      <c r="GB105" s="4">
        <f>ROUND(SUMIF(AA28:AA103,"=55657272",GX28:GX103),2)</f>
        <v>0</v>
      </c>
      <c r="GC105" s="4">
        <f>ROUND(SUMIF(AA28:AA103,"=55657272",GY28:GY103),2)</f>
        <v>0</v>
      </c>
      <c r="GD105" s="4">
        <f>ROUND(SUMIF(AA28:AA103,"=55657272",GZ28:GZ103),2)</f>
        <v>0</v>
      </c>
      <c r="GE105" s="4">
        <f>ROUND(SUMIF(AA28:AA103,"=55657272",HD28:HD103),2)</f>
        <v>0</v>
      </c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>
        <v>0</v>
      </c>
    </row>
    <row r="107" spans="1:28" ht="12.75">
      <c r="A107" s="5">
        <v>50</v>
      </c>
      <c r="B107" s="5">
        <v>0</v>
      </c>
      <c r="C107" s="5">
        <v>0</v>
      </c>
      <c r="D107" s="5">
        <v>1</v>
      </c>
      <c r="E107" s="5">
        <v>201</v>
      </c>
      <c r="F107" s="5">
        <f>ROUND(Source!O105,O107)</f>
        <v>2617399.06</v>
      </c>
      <c r="G107" s="5" t="s">
        <v>206</v>
      </c>
      <c r="H107" s="5" t="s">
        <v>207</v>
      </c>
      <c r="I107" s="5"/>
      <c r="J107" s="5"/>
      <c r="K107" s="5">
        <v>201</v>
      </c>
      <c r="L107" s="5">
        <v>1</v>
      </c>
      <c r="M107" s="5">
        <v>3</v>
      </c>
      <c r="N107" s="5" t="s">
        <v>3</v>
      </c>
      <c r="O107" s="5">
        <v>2</v>
      </c>
      <c r="P107" s="5">
        <f>ROUND(Source!DG105,O107)</f>
        <v>2774084.57</v>
      </c>
      <c r="Q107" s="5"/>
      <c r="R107" s="5"/>
      <c r="S107" s="5"/>
      <c r="T107" s="5"/>
      <c r="U107" s="5"/>
      <c r="V107" s="5"/>
      <c r="W107" s="5">
        <v>2617399.0599999996</v>
      </c>
      <c r="X107" s="5">
        <v>1</v>
      </c>
      <c r="Y107" s="5">
        <v>2617399.0599999996</v>
      </c>
      <c r="Z107" s="5">
        <v>2774084.57</v>
      </c>
      <c r="AA107" s="5">
        <v>1</v>
      </c>
      <c r="AB107" s="5">
        <v>2774084.57</v>
      </c>
    </row>
    <row r="108" spans="1:28" ht="12.75">
      <c r="A108" s="5">
        <v>50</v>
      </c>
      <c r="B108" s="5">
        <v>0</v>
      </c>
      <c r="C108" s="5">
        <v>0</v>
      </c>
      <c r="D108" s="5">
        <v>1</v>
      </c>
      <c r="E108" s="5">
        <v>202</v>
      </c>
      <c r="F108" s="5">
        <f>ROUND(Source!P105,O108)</f>
        <v>2613184.26</v>
      </c>
      <c r="G108" s="5" t="s">
        <v>208</v>
      </c>
      <c r="H108" s="5" t="s">
        <v>209</v>
      </c>
      <c r="I108" s="5"/>
      <c r="J108" s="5"/>
      <c r="K108" s="5">
        <v>202</v>
      </c>
      <c r="L108" s="5">
        <v>2</v>
      </c>
      <c r="M108" s="5">
        <v>3</v>
      </c>
      <c r="N108" s="5" t="s">
        <v>3</v>
      </c>
      <c r="O108" s="5">
        <v>2</v>
      </c>
      <c r="P108" s="5">
        <f>ROUND(Source!DH105,O108)</f>
        <v>2639486.28</v>
      </c>
      <c r="Q108" s="5"/>
      <c r="R108" s="5"/>
      <c r="S108" s="5"/>
      <c r="T108" s="5"/>
      <c r="U108" s="5"/>
      <c r="V108" s="5"/>
      <c r="W108" s="5">
        <v>2613184.26</v>
      </c>
      <c r="X108" s="5">
        <v>1</v>
      </c>
      <c r="Y108" s="5">
        <v>2613184.26</v>
      </c>
      <c r="Z108" s="5">
        <v>2639486.28</v>
      </c>
      <c r="AA108" s="5">
        <v>1</v>
      </c>
      <c r="AB108" s="5">
        <v>2639486.28</v>
      </c>
    </row>
    <row r="109" spans="1:28" ht="12.75">
      <c r="A109" s="5">
        <v>50</v>
      </c>
      <c r="B109" s="5">
        <v>0</v>
      </c>
      <c r="C109" s="5">
        <v>0</v>
      </c>
      <c r="D109" s="5">
        <v>1</v>
      </c>
      <c r="E109" s="5">
        <v>222</v>
      </c>
      <c r="F109" s="5">
        <f>ROUND(Source!AO105,O109)</f>
        <v>0</v>
      </c>
      <c r="G109" s="5" t="s">
        <v>210</v>
      </c>
      <c r="H109" s="5" t="s">
        <v>211</v>
      </c>
      <c r="I109" s="5"/>
      <c r="J109" s="5"/>
      <c r="K109" s="5">
        <v>222</v>
      </c>
      <c r="L109" s="5">
        <v>3</v>
      </c>
      <c r="M109" s="5">
        <v>3</v>
      </c>
      <c r="N109" s="5" t="s">
        <v>3</v>
      </c>
      <c r="O109" s="5">
        <v>2</v>
      </c>
      <c r="P109" s="5">
        <f>ROUND(Source!EG105,O109)</f>
        <v>0</v>
      </c>
      <c r="Q109" s="5"/>
      <c r="R109" s="5"/>
      <c r="S109" s="5"/>
      <c r="T109" s="5"/>
      <c r="U109" s="5"/>
      <c r="V109" s="5"/>
      <c r="W109" s="5">
        <v>0</v>
      </c>
      <c r="X109" s="5">
        <v>1</v>
      </c>
      <c r="Y109" s="5">
        <v>0</v>
      </c>
      <c r="Z109" s="5">
        <v>0</v>
      </c>
      <c r="AA109" s="5">
        <v>1</v>
      </c>
      <c r="AB109" s="5">
        <v>0</v>
      </c>
    </row>
    <row r="110" spans="1:28" ht="12.75">
      <c r="A110" s="5">
        <v>50</v>
      </c>
      <c r="B110" s="5">
        <v>0</v>
      </c>
      <c r="C110" s="5">
        <v>0</v>
      </c>
      <c r="D110" s="5">
        <v>1</v>
      </c>
      <c r="E110" s="5">
        <v>225</v>
      </c>
      <c r="F110" s="5">
        <f>ROUND(Source!AV105,O110)</f>
        <v>2613184.26</v>
      </c>
      <c r="G110" s="5" t="s">
        <v>212</v>
      </c>
      <c r="H110" s="5" t="s">
        <v>213</v>
      </c>
      <c r="I110" s="5"/>
      <c r="J110" s="5"/>
      <c r="K110" s="5">
        <v>225</v>
      </c>
      <c r="L110" s="5">
        <v>4</v>
      </c>
      <c r="M110" s="5">
        <v>3</v>
      </c>
      <c r="N110" s="5" t="s">
        <v>3</v>
      </c>
      <c r="O110" s="5">
        <v>2</v>
      </c>
      <c r="P110" s="5">
        <f>ROUND(Source!EN105,O110)</f>
        <v>2639486.28</v>
      </c>
      <c r="Q110" s="5"/>
      <c r="R110" s="5"/>
      <c r="S110" s="5"/>
      <c r="T110" s="5"/>
      <c r="U110" s="5"/>
      <c r="V110" s="5"/>
      <c r="W110" s="5">
        <v>2613184.26</v>
      </c>
      <c r="X110" s="5">
        <v>1</v>
      </c>
      <c r="Y110" s="5">
        <v>2613184.26</v>
      </c>
      <c r="Z110" s="5">
        <v>2639486.28</v>
      </c>
      <c r="AA110" s="5">
        <v>1</v>
      </c>
      <c r="AB110" s="5">
        <v>2639486.28</v>
      </c>
    </row>
    <row r="111" spans="1:28" ht="12.75">
      <c r="A111" s="5">
        <v>50</v>
      </c>
      <c r="B111" s="5">
        <v>0</v>
      </c>
      <c r="C111" s="5">
        <v>0</v>
      </c>
      <c r="D111" s="5">
        <v>1</v>
      </c>
      <c r="E111" s="5">
        <v>226</v>
      </c>
      <c r="F111" s="5">
        <f>ROUND(Source!AW105,O111)</f>
        <v>2613184.26</v>
      </c>
      <c r="G111" s="5" t="s">
        <v>214</v>
      </c>
      <c r="H111" s="5" t="s">
        <v>215</v>
      </c>
      <c r="I111" s="5"/>
      <c r="J111" s="5"/>
      <c r="K111" s="5">
        <v>226</v>
      </c>
      <c r="L111" s="5">
        <v>5</v>
      </c>
      <c r="M111" s="5">
        <v>3</v>
      </c>
      <c r="N111" s="5" t="s">
        <v>3</v>
      </c>
      <c r="O111" s="5">
        <v>2</v>
      </c>
      <c r="P111" s="5">
        <f>ROUND(Source!EO105,O111)</f>
        <v>2639486.28</v>
      </c>
      <c r="Q111" s="5"/>
      <c r="R111" s="5"/>
      <c r="S111" s="5"/>
      <c r="T111" s="5"/>
      <c r="U111" s="5"/>
      <c r="V111" s="5"/>
      <c r="W111" s="5">
        <v>2613184.26</v>
      </c>
      <c r="X111" s="5">
        <v>1</v>
      </c>
      <c r="Y111" s="5">
        <v>2613184.26</v>
      </c>
      <c r="Z111" s="5">
        <v>2639486.28</v>
      </c>
      <c r="AA111" s="5">
        <v>1</v>
      </c>
      <c r="AB111" s="5">
        <v>2639486.28</v>
      </c>
    </row>
    <row r="112" spans="1:28" ht="12.75">
      <c r="A112" s="5">
        <v>50</v>
      </c>
      <c r="B112" s="5">
        <v>0</v>
      </c>
      <c r="C112" s="5">
        <v>0</v>
      </c>
      <c r="D112" s="5">
        <v>1</v>
      </c>
      <c r="E112" s="5">
        <v>227</v>
      </c>
      <c r="F112" s="5">
        <f>ROUND(Source!AX105,O112)</f>
        <v>0</v>
      </c>
      <c r="G112" s="5" t="s">
        <v>216</v>
      </c>
      <c r="H112" s="5" t="s">
        <v>217</v>
      </c>
      <c r="I112" s="5"/>
      <c r="J112" s="5"/>
      <c r="K112" s="5">
        <v>227</v>
      </c>
      <c r="L112" s="5">
        <v>6</v>
      </c>
      <c r="M112" s="5">
        <v>3</v>
      </c>
      <c r="N112" s="5" t="s">
        <v>3</v>
      </c>
      <c r="O112" s="5">
        <v>2</v>
      </c>
      <c r="P112" s="5">
        <f>ROUND(Source!EP105,O112)</f>
        <v>0</v>
      </c>
      <c r="Q112" s="5"/>
      <c r="R112" s="5"/>
      <c r="S112" s="5"/>
      <c r="T112" s="5"/>
      <c r="U112" s="5"/>
      <c r="V112" s="5"/>
      <c r="W112" s="5">
        <v>0</v>
      </c>
      <c r="X112" s="5">
        <v>1</v>
      </c>
      <c r="Y112" s="5">
        <v>0</v>
      </c>
      <c r="Z112" s="5">
        <v>0</v>
      </c>
      <c r="AA112" s="5">
        <v>1</v>
      </c>
      <c r="AB112" s="5">
        <v>0</v>
      </c>
    </row>
    <row r="113" spans="1:28" ht="12.75">
      <c r="A113" s="5">
        <v>50</v>
      </c>
      <c r="B113" s="5">
        <v>0</v>
      </c>
      <c r="C113" s="5">
        <v>0</v>
      </c>
      <c r="D113" s="5">
        <v>1</v>
      </c>
      <c r="E113" s="5">
        <v>228</v>
      </c>
      <c r="F113" s="5">
        <f>ROUND(Source!AY105,O113)</f>
        <v>2613184.26</v>
      </c>
      <c r="G113" s="5" t="s">
        <v>218</v>
      </c>
      <c r="H113" s="5" t="s">
        <v>219</v>
      </c>
      <c r="I113" s="5"/>
      <c r="J113" s="5"/>
      <c r="K113" s="5">
        <v>228</v>
      </c>
      <c r="L113" s="5">
        <v>7</v>
      </c>
      <c r="M113" s="5">
        <v>3</v>
      </c>
      <c r="N113" s="5" t="s">
        <v>3</v>
      </c>
      <c r="O113" s="5">
        <v>2</v>
      </c>
      <c r="P113" s="5">
        <f>ROUND(Source!EQ105,O113)</f>
        <v>2639486.28</v>
      </c>
      <c r="Q113" s="5"/>
      <c r="R113" s="5"/>
      <c r="S113" s="5"/>
      <c r="T113" s="5"/>
      <c r="U113" s="5"/>
      <c r="V113" s="5"/>
      <c r="W113" s="5">
        <v>2613184.26</v>
      </c>
      <c r="X113" s="5">
        <v>1</v>
      </c>
      <c r="Y113" s="5">
        <v>2613184.26</v>
      </c>
      <c r="Z113" s="5">
        <v>2639486.28</v>
      </c>
      <c r="AA113" s="5">
        <v>1</v>
      </c>
      <c r="AB113" s="5">
        <v>2639486.28</v>
      </c>
    </row>
    <row r="114" spans="1:28" ht="12.75">
      <c r="A114" s="5">
        <v>50</v>
      </c>
      <c r="B114" s="5">
        <v>0</v>
      </c>
      <c r="C114" s="5">
        <v>0</v>
      </c>
      <c r="D114" s="5">
        <v>1</v>
      </c>
      <c r="E114" s="5">
        <v>216</v>
      </c>
      <c r="F114" s="5">
        <f>ROUND(Source!AP105,O114)</f>
        <v>0</v>
      </c>
      <c r="G114" s="5" t="s">
        <v>220</v>
      </c>
      <c r="H114" s="5" t="s">
        <v>221</v>
      </c>
      <c r="I114" s="5"/>
      <c r="J114" s="5"/>
      <c r="K114" s="5">
        <v>216</v>
      </c>
      <c r="L114" s="5">
        <v>8</v>
      </c>
      <c r="M114" s="5">
        <v>3</v>
      </c>
      <c r="N114" s="5" t="s">
        <v>3</v>
      </c>
      <c r="O114" s="5">
        <v>2</v>
      </c>
      <c r="P114" s="5">
        <f>ROUND(Source!EH105,O114)</f>
        <v>0</v>
      </c>
      <c r="Q114" s="5"/>
      <c r="R114" s="5"/>
      <c r="S114" s="5"/>
      <c r="T114" s="5"/>
      <c r="U114" s="5"/>
      <c r="V114" s="5"/>
      <c r="W114" s="5">
        <v>0</v>
      </c>
      <c r="X114" s="5">
        <v>1</v>
      </c>
      <c r="Y114" s="5">
        <v>0</v>
      </c>
      <c r="Z114" s="5">
        <v>0</v>
      </c>
      <c r="AA114" s="5">
        <v>1</v>
      </c>
      <c r="AB114" s="5">
        <v>0</v>
      </c>
    </row>
    <row r="115" spans="1:28" ht="12.75">
      <c r="A115" s="5">
        <v>50</v>
      </c>
      <c r="B115" s="5">
        <v>0</v>
      </c>
      <c r="C115" s="5">
        <v>0</v>
      </c>
      <c r="D115" s="5">
        <v>1</v>
      </c>
      <c r="E115" s="5">
        <v>223</v>
      </c>
      <c r="F115" s="5">
        <f>ROUND(Source!AQ105,O115)</f>
        <v>0</v>
      </c>
      <c r="G115" s="5" t="s">
        <v>222</v>
      </c>
      <c r="H115" s="5" t="s">
        <v>223</v>
      </c>
      <c r="I115" s="5"/>
      <c r="J115" s="5"/>
      <c r="K115" s="5">
        <v>223</v>
      </c>
      <c r="L115" s="5">
        <v>9</v>
      </c>
      <c r="M115" s="5">
        <v>3</v>
      </c>
      <c r="N115" s="5" t="s">
        <v>3</v>
      </c>
      <c r="O115" s="5">
        <v>2</v>
      </c>
      <c r="P115" s="5">
        <f>ROUND(Source!EI105,O115)</f>
        <v>0</v>
      </c>
      <c r="Q115" s="5"/>
      <c r="R115" s="5"/>
      <c r="S115" s="5"/>
      <c r="T115" s="5"/>
      <c r="U115" s="5"/>
      <c r="V115" s="5"/>
      <c r="W115" s="5">
        <v>0</v>
      </c>
      <c r="X115" s="5">
        <v>1</v>
      </c>
      <c r="Y115" s="5">
        <v>0</v>
      </c>
      <c r="Z115" s="5">
        <v>0</v>
      </c>
      <c r="AA115" s="5">
        <v>1</v>
      </c>
      <c r="AB115" s="5">
        <v>0</v>
      </c>
    </row>
    <row r="116" spans="1:28" ht="12.75">
      <c r="A116" s="5">
        <v>50</v>
      </c>
      <c r="B116" s="5">
        <v>0</v>
      </c>
      <c r="C116" s="5">
        <v>0</v>
      </c>
      <c r="D116" s="5">
        <v>1</v>
      </c>
      <c r="E116" s="5">
        <v>229</v>
      </c>
      <c r="F116" s="5">
        <f>ROUND(Source!AZ105,O116)</f>
        <v>0</v>
      </c>
      <c r="G116" s="5" t="s">
        <v>224</v>
      </c>
      <c r="H116" s="5" t="s">
        <v>225</v>
      </c>
      <c r="I116" s="5"/>
      <c r="J116" s="5"/>
      <c r="K116" s="5">
        <v>229</v>
      </c>
      <c r="L116" s="5">
        <v>10</v>
      </c>
      <c r="M116" s="5">
        <v>3</v>
      </c>
      <c r="N116" s="5" t="s">
        <v>3</v>
      </c>
      <c r="O116" s="5">
        <v>2</v>
      </c>
      <c r="P116" s="5">
        <f>ROUND(Source!ER105,O116)</f>
        <v>0</v>
      </c>
      <c r="Q116" s="5"/>
      <c r="R116" s="5"/>
      <c r="S116" s="5"/>
      <c r="T116" s="5"/>
      <c r="U116" s="5"/>
      <c r="V116" s="5"/>
      <c r="W116" s="5">
        <v>0</v>
      </c>
      <c r="X116" s="5">
        <v>1</v>
      </c>
      <c r="Y116" s="5">
        <v>0</v>
      </c>
      <c r="Z116" s="5">
        <v>0</v>
      </c>
      <c r="AA116" s="5">
        <v>1</v>
      </c>
      <c r="AB116" s="5">
        <v>0</v>
      </c>
    </row>
    <row r="117" spans="1:28" ht="12.75">
      <c r="A117" s="5">
        <v>50</v>
      </c>
      <c r="B117" s="5">
        <v>0</v>
      </c>
      <c r="C117" s="5">
        <v>0</v>
      </c>
      <c r="D117" s="5">
        <v>1</v>
      </c>
      <c r="E117" s="5">
        <v>203</v>
      </c>
      <c r="F117" s="5">
        <f>ROUND(Source!Q105,O117)</f>
        <v>945.32</v>
      </c>
      <c r="G117" s="5" t="s">
        <v>226</v>
      </c>
      <c r="H117" s="5" t="s">
        <v>227</v>
      </c>
      <c r="I117" s="5"/>
      <c r="J117" s="5"/>
      <c r="K117" s="5">
        <v>203</v>
      </c>
      <c r="L117" s="5">
        <v>11</v>
      </c>
      <c r="M117" s="5">
        <v>3</v>
      </c>
      <c r="N117" s="5" t="s">
        <v>3</v>
      </c>
      <c r="O117" s="5">
        <v>2</v>
      </c>
      <c r="P117" s="5">
        <f>ROUND(Source!DI105,O117)</f>
        <v>12516.25</v>
      </c>
      <c r="Q117" s="5"/>
      <c r="R117" s="5"/>
      <c r="S117" s="5"/>
      <c r="T117" s="5"/>
      <c r="U117" s="5"/>
      <c r="V117" s="5"/>
      <c r="W117" s="5">
        <v>945.32</v>
      </c>
      <c r="X117" s="5">
        <v>1</v>
      </c>
      <c r="Y117" s="5">
        <v>945.32</v>
      </c>
      <c r="Z117" s="5">
        <v>12516.25</v>
      </c>
      <c r="AA117" s="5">
        <v>1</v>
      </c>
      <c r="AB117" s="5">
        <v>12516.25</v>
      </c>
    </row>
    <row r="118" spans="1:28" ht="12.75">
      <c r="A118" s="5">
        <v>50</v>
      </c>
      <c r="B118" s="5">
        <v>0</v>
      </c>
      <c r="C118" s="5">
        <v>0</v>
      </c>
      <c r="D118" s="5">
        <v>1</v>
      </c>
      <c r="E118" s="5">
        <v>231</v>
      </c>
      <c r="F118" s="5">
        <f>ROUND(Source!BB105,O118)</f>
        <v>0</v>
      </c>
      <c r="G118" s="5" t="s">
        <v>228</v>
      </c>
      <c r="H118" s="5" t="s">
        <v>229</v>
      </c>
      <c r="I118" s="5"/>
      <c r="J118" s="5"/>
      <c r="K118" s="5">
        <v>231</v>
      </c>
      <c r="L118" s="5">
        <v>12</v>
      </c>
      <c r="M118" s="5">
        <v>3</v>
      </c>
      <c r="N118" s="5" t="s">
        <v>3</v>
      </c>
      <c r="O118" s="5">
        <v>2</v>
      </c>
      <c r="P118" s="5">
        <f>ROUND(Source!ET105,O118)</f>
        <v>0</v>
      </c>
      <c r="Q118" s="5"/>
      <c r="R118" s="5"/>
      <c r="S118" s="5"/>
      <c r="T118" s="5"/>
      <c r="U118" s="5"/>
      <c r="V118" s="5"/>
      <c r="W118" s="5">
        <v>0</v>
      </c>
      <c r="X118" s="5">
        <v>1</v>
      </c>
      <c r="Y118" s="5">
        <v>0</v>
      </c>
      <c r="Z118" s="5">
        <v>0</v>
      </c>
      <c r="AA118" s="5">
        <v>1</v>
      </c>
      <c r="AB118" s="5">
        <v>0</v>
      </c>
    </row>
    <row r="119" spans="1:28" ht="12.75">
      <c r="A119" s="5">
        <v>50</v>
      </c>
      <c r="B119" s="5">
        <v>0</v>
      </c>
      <c r="C119" s="5">
        <v>0</v>
      </c>
      <c r="D119" s="5">
        <v>1</v>
      </c>
      <c r="E119" s="5">
        <v>204</v>
      </c>
      <c r="F119" s="5">
        <f>ROUND(Source!R105,O119)</f>
        <v>110.2</v>
      </c>
      <c r="G119" s="5" t="s">
        <v>230</v>
      </c>
      <c r="H119" s="5" t="s">
        <v>231</v>
      </c>
      <c r="I119" s="5"/>
      <c r="J119" s="5"/>
      <c r="K119" s="5">
        <v>204</v>
      </c>
      <c r="L119" s="5">
        <v>13</v>
      </c>
      <c r="M119" s="5">
        <v>3</v>
      </c>
      <c r="N119" s="5" t="s">
        <v>3</v>
      </c>
      <c r="O119" s="5">
        <v>2</v>
      </c>
      <c r="P119" s="5">
        <f>ROUND(Source!DJ105,O119)</f>
        <v>4114.58</v>
      </c>
      <c r="Q119" s="5"/>
      <c r="R119" s="5"/>
      <c r="S119" s="5"/>
      <c r="T119" s="5"/>
      <c r="U119" s="5"/>
      <c r="V119" s="5"/>
      <c r="W119" s="5">
        <v>110.2</v>
      </c>
      <c r="X119" s="5">
        <v>1</v>
      </c>
      <c r="Y119" s="5">
        <v>110.2</v>
      </c>
      <c r="Z119" s="5">
        <v>4114.58</v>
      </c>
      <c r="AA119" s="5">
        <v>1</v>
      </c>
      <c r="AB119" s="5">
        <v>4114.58</v>
      </c>
    </row>
    <row r="120" spans="1:28" ht="12.75">
      <c r="A120" s="5">
        <v>50</v>
      </c>
      <c r="B120" s="5">
        <v>0</v>
      </c>
      <c r="C120" s="5">
        <v>0</v>
      </c>
      <c r="D120" s="5">
        <v>1</v>
      </c>
      <c r="E120" s="5">
        <v>205</v>
      </c>
      <c r="F120" s="5">
        <f>ROUND(Source!S105,O120)</f>
        <v>3269.48</v>
      </c>
      <c r="G120" s="5" t="s">
        <v>232</v>
      </c>
      <c r="H120" s="5" t="s">
        <v>233</v>
      </c>
      <c r="I120" s="5"/>
      <c r="J120" s="5"/>
      <c r="K120" s="5">
        <v>205</v>
      </c>
      <c r="L120" s="5">
        <v>14</v>
      </c>
      <c r="M120" s="5">
        <v>3</v>
      </c>
      <c r="N120" s="5" t="s">
        <v>3</v>
      </c>
      <c r="O120" s="5">
        <v>2</v>
      </c>
      <c r="P120" s="5">
        <f>ROUND(Source!DK105,O120)</f>
        <v>122082.04</v>
      </c>
      <c r="Q120" s="5"/>
      <c r="R120" s="5"/>
      <c r="S120" s="5"/>
      <c r="T120" s="5"/>
      <c r="U120" s="5"/>
      <c r="V120" s="5"/>
      <c r="W120" s="5">
        <v>3269.48</v>
      </c>
      <c r="X120" s="5">
        <v>1</v>
      </c>
      <c r="Y120" s="5">
        <v>3269.48</v>
      </c>
      <c r="Z120" s="5">
        <v>122082.04000000001</v>
      </c>
      <c r="AA120" s="5">
        <v>1</v>
      </c>
      <c r="AB120" s="5">
        <v>122082.04000000001</v>
      </c>
    </row>
    <row r="121" spans="1:28" ht="12.75">
      <c r="A121" s="5">
        <v>50</v>
      </c>
      <c r="B121" s="5">
        <v>0</v>
      </c>
      <c r="C121" s="5">
        <v>0</v>
      </c>
      <c r="D121" s="5">
        <v>1</v>
      </c>
      <c r="E121" s="5">
        <v>232</v>
      </c>
      <c r="F121" s="5">
        <f>ROUND(Source!BC105,O121)</f>
        <v>0</v>
      </c>
      <c r="G121" s="5" t="s">
        <v>234</v>
      </c>
      <c r="H121" s="5" t="s">
        <v>235</v>
      </c>
      <c r="I121" s="5"/>
      <c r="J121" s="5"/>
      <c r="K121" s="5">
        <v>232</v>
      </c>
      <c r="L121" s="5">
        <v>15</v>
      </c>
      <c r="M121" s="5">
        <v>3</v>
      </c>
      <c r="N121" s="5" t="s">
        <v>3</v>
      </c>
      <c r="O121" s="5">
        <v>2</v>
      </c>
      <c r="P121" s="5">
        <f>ROUND(Source!EU105,O121)</f>
        <v>0</v>
      </c>
      <c r="Q121" s="5"/>
      <c r="R121" s="5"/>
      <c r="S121" s="5"/>
      <c r="T121" s="5"/>
      <c r="U121" s="5"/>
      <c r="V121" s="5"/>
      <c r="W121" s="5">
        <v>0</v>
      </c>
      <c r="X121" s="5">
        <v>1</v>
      </c>
      <c r="Y121" s="5">
        <v>0</v>
      </c>
      <c r="Z121" s="5">
        <v>0</v>
      </c>
      <c r="AA121" s="5">
        <v>1</v>
      </c>
      <c r="AB121" s="5">
        <v>0</v>
      </c>
    </row>
    <row r="122" spans="1:28" ht="12.75">
      <c r="A122" s="5">
        <v>50</v>
      </c>
      <c r="B122" s="5">
        <v>0</v>
      </c>
      <c r="C122" s="5">
        <v>0</v>
      </c>
      <c r="D122" s="5">
        <v>1</v>
      </c>
      <c r="E122" s="5">
        <v>214</v>
      </c>
      <c r="F122" s="5">
        <f>ROUND(Source!AS105,O122)</f>
        <v>1454442.78</v>
      </c>
      <c r="G122" s="5" t="s">
        <v>236</v>
      </c>
      <c r="H122" s="5" t="s">
        <v>237</v>
      </c>
      <c r="I122" s="5"/>
      <c r="J122" s="5"/>
      <c r="K122" s="5">
        <v>214</v>
      </c>
      <c r="L122" s="5">
        <v>16</v>
      </c>
      <c r="M122" s="5">
        <v>3</v>
      </c>
      <c r="N122" s="5" t="s">
        <v>3</v>
      </c>
      <c r="O122" s="5">
        <v>2</v>
      </c>
      <c r="P122" s="5">
        <f>ROUND(Source!EK105,O122)</f>
        <v>1776371.09</v>
      </c>
      <c r="Q122" s="5"/>
      <c r="R122" s="5"/>
      <c r="S122" s="5"/>
      <c r="T122" s="5"/>
      <c r="U122" s="5"/>
      <c r="V122" s="5"/>
      <c r="W122" s="5">
        <v>1454442.78</v>
      </c>
      <c r="X122" s="5">
        <v>1</v>
      </c>
      <c r="Y122" s="5">
        <v>1454442.78</v>
      </c>
      <c r="Z122" s="5">
        <v>1776371.09</v>
      </c>
      <c r="AA122" s="5">
        <v>1</v>
      </c>
      <c r="AB122" s="5">
        <v>1776371.09</v>
      </c>
    </row>
    <row r="123" spans="1:28" ht="12.75">
      <c r="A123" s="5">
        <v>50</v>
      </c>
      <c r="B123" s="5">
        <v>0</v>
      </c>
      <c r="C123" s="5">
        <v>0</v>
      </c>
      <c r="D123" s="5">
        <v>1</v>
      </c>
      <c r="E123" s="5">
        <v>215</v>
      </c>
      <c r="F123" s="5">
        <f>ROUND(Source!AT105,O123)</f>
        <v>1167997.68</v>
      </c>
      <c r="G123" s="5" t="s">
        <v>238</v>
      </c>
      <c r="H123" s="5" t="s">
        <v>239</v>
      </c>
      <c r="I123" s="5"/>
      <c r="J123" s="5"/>
      <c r="K123" s="5">
        <v>215</v>
      </c>
      <c r="L123" s="5">
        <v>17</v>
      </c>
      <c r="M123" s="5">
        <v>3</v>
      </c>
      <c r="N123" s="5" t="s">
        <v>3</v>
      </c>
      <c r="O123" s="5">
        <v>2</v>
      </c>
      <c r="P123" s="5">
        <f>ROUND(Source!EL105,O123)</f>
        <v>1185958.06</v>
      </c>
      <c r="Q123" s="5"/>
      <c r="R123" s="5"/>
      <c r="S123" s="5"/>
      <c r="T123" s="5"/>
      <c r="U123" s="5"/>
      <c r="V123" s="5"/>
      <c r="W123" s="5">
        <v>1167997.68</v>
      </c>
      <c r="X123" s="5">
        <v>1</v>
      </c>
      <c r="Y123" s="5">
        <v>1167997.68</v>
      </c>
      <c r="Z123" s="5">
        <v>1185958.06</v>
      </c>
      <c r="AA123" s="5">
        <v>1</v>
      </c>
      <c r="AB123" s="5">
        <v>1185958.06</v>
      </c>
    </row>
    <row r="124" spans="1:28" ht="12.75">
      <c r="A124" s="5">
        <v>50</v>
      </c>
      <c r="B124" s="5">
        <v>0</v>
      </c>
      <c r="C124" s="5">
        <v>0</v>
      </c>
      <c r="D124" s="5">
        <v>1</v>
      </c>
      <c r="E124" s="5">
        <v>217</v>
      </c>
      <c r="F124" s="5">
        <f>ROUND(Source!AU105,O124)</f>
        <v>0</v>
      </c>
      <c r="G124" s="5" t="s">
        <v>240</v>
      </c>
      <c r="H124" s="5" t="s">
        <v>241</v>
      </c>
      <c r="I124" s="5"/>
      <c r="J124" s="5"/>
      <c r="K124" s="5">
        <v>217</v>
      </c>
      <c r="L124" s="5">
        <v>18</v>
      </c>
      <c r="M124" s="5">
        <v>3</v>
      </c>
      <c r="N124" s="5" t="s">
        <v>3</v>
      </c>
      <c r="O124" s="5">
        <v>2</v>
      </c>
      <c r="P124" s="5">
        <f>ROUND(Source!EM105,O124)</f>
        <v>0</v>
      </c>
      <c r="Q124" s="5"/>
      <c r="R124" s="5"/>
      <c r="S124" s="5"/>
      <c r="T124" s="5"/>
      <c r="U124" s="5"/>
      <c r="V124" s="5"/>
      <c r="W124" s="5">
        <v>0</v>
      </c>
      <c r="X124" s="5">
        <v>1</v>
      </c>
      <c r="Y124" s="5">
        <v>0</v>
      </c>
      <c r="Z124" s="5">
        <v>0</v>
      </c>
      <c r="AA124" s="5">
        <v>1</v>
      </c>
      <c r="AB124" s="5">
        <v>0</v>
      </c>
    </row>
    <row r="125" spans="1:28" ht="12.75">
      <c r="A125" s="5">
        <v>50</v>
      </c>
      <c r="B125" s="5">
        <v>0</v>
      </c>
      <c r="C125" s="5">
        <v>0</v>
      </c>
      <c r="D125" s="5">
        <v>1</v>
      </c>
      <c r="E125" s="5">
        <v>230</v>
      </c>
      <c r="F125" s="5">
        <f>ROUND(Source!BA105,O125)</f>
        <v>0</v>
      </c>
      <c r="G125" s="5" t="s">
        <v>242</v>
      </c>
      <c r="H125" s="5" t="s">
        <v>243</v>
      </c>
      <c r="I125" s="5"/>
      <c r="J125" s="5"/>
      <c r="K125" s="5">
        <v>230</v>
      </c>
      <c r="L125" s="5">
        <v>19</v>
      </c>
      <c r="M125" s="5">
        <v>3</v>
      </c>
      <c r="N125" s="5" t="s">
        <v>3</v>
      </c>
      <c r="O125" s="5">
        <v>2</v>
      </c>
      <c r="P125" s="5">
        <f>ROUND(Source!ES105,O125)</f>
        <v>0</v>
      </c>
      <c r="Q125" s="5"/>
      <c r="R125" s="5"/>
      <c r="S125" s="5"/>
      <c r="T125" s="5"/>
      <c r="U125" s="5"/>
      <c r="V125" s="5"/>
      <c r="W125" s="5">
        <v>0</v>
      </c>
      <c r="X125" s="5">
        <v>1</v>
      </c>
      <c r="Y125" s="5">
        <v>0</v>
      </c>
      <c r="Z125" s="5">
        <v>0</v>
      </c>
      <c r="AA125" s="5">
        <v>1</v>
      </c>
      <c r="AB125" s="5">
        <v>0</v>
      </c>
    </row>
    <row r="126" spans="1:28" ht="12.75">
      <c r="A126" s="5">
        <v>50</v>
      </c>
      <c r="B126" s="5">
        <v>0</v>
      </c>
      <c r="C126" s="5">
        <v>0</v>
      </c>
      <c r="D126" s="5">
        <v>1</v>
      </c>
      <c r="E126" s="5">
        <v>206</v>
      </c>
      <c r="F126" s="5">
        <f>ROUND(Source!T105,O126)</f>
        <v>0</v>
      </c>
      <c r="G126" s="5" t="s">
        <v>244</v>
      </c>
      <c r="H126" s="5" t="s">
        <v>245</v>
      </c>
      <c r="I126" s="5"/>
      <c r="J126" s="5"/>
      <c r="K126" s="5">
        <v>206</v>
      </c>
      <c r="L126" s="5">
        <v>20</v>
      </c>
      <c r="M126" s="5">
        <v>3</v>
      </c>
      <c r="N126" s="5" t="s">
        <v>3</v>
      </c>
      <c r="O126" s="5">
        <v>2</v>
      </c>
      <c r="P126" s="5">
        <f>ROUND(Source!DL105,O126)</f>
        <v>0</v>
      </c>
      <c r="Q126" s="5"/>
      <c r="R126" s="5"/>
      <c r="S126" s="5"/>
      <c r="T126" s="5"/>
      <c r="U126" s="5"/>
      <c r="V126" s="5"/>
      <c r="W126" s="5">
        <v>0</v>
      </c>
      <c r="X126" s="5">
        <v>1</v>
      </c>
      <c r="Y126" s="5">
        <v>0</v>
      </c>
      <c r="Z126" s="5">
        <v>0</v>
      </c>
      <c r="AA126" s="5">
        <v>1</v>
      </c>
      <c r="AB126" s="5">
        <v>0</v>
      </c>
    </row>
    <row r="127" spans="1:28" ht="12.75">
      <c r="A127" s="5">
        <v>50</v>
      </c>
      <c r="B127" s="5">
        <v>0</v>
      </c>
      <c r="C127" s="5">
        <v>0</v>
      </c>
      <c r="D127" s="5">
        <v>1</v>
      </c>
      <c r="E127" s="5">
        <v>207</v>
      </c>
      <c r="F127" s="5">
        <f>Source!U105</f>
        <v>331.60513999999995</v>
      </c>
      <c r="G127" s="5" t="s">
        <v>246</v>
      </c>
      <c r="H127" s="5" t="s">
        <v>247</v>
      </c>
      <c r="I127" s="5"/>
      <c r="J127" s="5"/>
      <c r="K127" s="5">
        <v>207</v>
      </c>
      <c r="L127" s="5">
        <v>21</v>
      </c>
      <c r="M127" s="5">
        <v>3</v>
      </c>
      <c r="N127" s="5" t="s">
        <v>3</v>
      </c>
      <c r="O127" s="5">
        <v>-1</v>
      </c>
      <c r="P127" s="5">
        <f>Source!DM105</f>
        <v>331.60513999999995</v>
      </c>
      <c r="Q127" s="5"/>
      <c r="R127" s="5"/>
      <c r="S127" s="5"/>
      <c r="T127" s="5"/>
      <c r="U127" s="5"/>
      <c r="V127" s="5"/>
      <c r="W127" s="5">
        <v>331.60514</v>
      </c>
      <c r="X127" s="5">
        <v>1</v>
      </c>
      <c r="Y127" s="5">
        <v>331.60514</v>
      </c>
      <c r="Z127" s="5">
        <v>331.60514</v>
      </c>
      <c r="AA127" s="5">
        <v>1</v>
      </c>
      <c r="AB127" s="5">
        <v>331.60514</v>
      </c>
    </row>
    <row r="128" spans="1:28" ht="12.75">
      <c r="A128" s="5">
        <v>50</v>
      </c>
      <c r="B128" s="5">
        <v>0</v>
      </c>
      <c r="C128" s="5">
        <v>0</v>
      </c>
      <c r="D128" s="5">
        <v>1</v>
      </c>
      <c r="E128" s="5">
        <v>208</v>
      </c>
      <c r="F128" s="5">
        <f>Source!V105</f>
        <v>8.718285</v>
      </c>
      <c r="G128" s="5" t="s">
        <v>248</v>
      </c>
      <c r="H128" s="5" t="s">
        <v>249</v>
      </c>
      <c r="I128" s="5"/>
      <c r="J128" s="5"/>
      <c r="K128" s="5">
        <v>208</v>
      </c>
      <c r="L128" s="5">
        <v>22</v>
      </c>
      <c r="M128" s="5">
        <v>3</v>
      </c>
      <c r="N128" s="5" t="s">
        <v>3</v>
      </c>
      <c r="O128" s="5">
        <v>-1</v>
      </c>
      <c r="P128" s="5">
        <f>Source!DN105</f>
        <v>8.718285</v>
      </c>
      <c r="Q128" s="5"/>
      <c r="R128" s="5"/>
      <c r="S128" s="5"/>
      <c r="T128" s="5"/>
      <c r="U128" s="5"/>
      <c r="V128" s="5"/>
      <c r="W128" s="5">
        <v>8.718285</v>
      </c>
      <c r="X128" s="5">
        <v>1</v>
      </c>
      <c r="Y128" s="5">
        <v>8.718285</v>
      </c>
      <c r="Z128" s="5">
        <v>8.718285</v>
      </c>
      <c r="AA128" s="5">
        <v>1</v>
      </c>
      <c r="AB128" s="5">
        <v>8.718285</v>
      </c>
    </row>
    <row r="129" spans="1:28" ht="12.75">
      <c r="A129" s="5">
        <v>50</v>
      </c>
      <c r="B129" s="5">
        <v>0</v>
      </c>
      <c r="C129" s="5">
        <v>0</v>
      </c>
      <c r="D129" s="5">
        <v>1</v>
      </c>
      <c r="E129" s="5">
        <v>209</v>
      </c>
      <c r="F129" s="5">
        <f>ROUND(Source!W105,O129)</f>
        <v>0</v>
      </c>
      <c r="G129" s="5" t="s">
        <v>250</v>
      </c>
      <c r="H129" s="5" t="s">
        <v>251</v>
      </c>
      <c r="I129" s="5"/>
      <c r="J129" s="5"/>
      <c r="K129" s="5">
        <v>209</v>
      </c>
      <c r="L129" s="5">
        <v>23</v>
      </c>
      <c r="M129" s="5">
        <v>3</v>
      </c>
      <c r="N129" s="5" t="s">
        <v>3</v>
      </c>
      <c r="O129" s="5">
        <v>2</v>
      </c>
      <c r="P129" s="5">
        <f>ROUND(Source!DO105,O129)</f>
        <v>0</v>
      </c>
      <c r="Q129" s="5"/>
      <c r="R129" s="5"/>
      <c r="S129" s="5"/>
      <c r="T129" s="5"/>
      <c r="U129" s="5"/>
      <c r="V129" s="5"/>
      <c r="W129" s="5">
        <v>0</v>
      </c>
      <c r="X129" s="5">
        <v>1</v>
      </c>
      <c r="Y129" s="5">
        <v>0</v>
      </c>
      <c r="Z129" s="5">
        <v>0</v>
      </c>
      <c r="AA129" s="5">
        <v>1</v>
      </c>
      <c r="AB129" s="5">
        <v>0</v>
      </c>
    </row>
    <row r="130" spans="1:28" ht="12.75">
      <c r="A130" s="5">
        <v>50</v>
      </c>
      <c r="B130" s="5">
        <v>0</v>
      </c>
      <c r="C130" s="5">
        <v>0</v>
      </c>
      <c r="D130" s="5">
        <v>1</v>
      </c>
      <c r="E130" s="5">
        <v>233</v>
      </c>
      <c r="F130" s="5">
        <f>ROUND(Source!BD105,O130)</f>
        <v>0</v>
      </c>
      <c r="G130" s="5" t="s">
        <v>252</v>
      </c>
      <c r="H130" s="5" t="s">
        <v>253</v>
      </c>
      <c r="I130" s="5"/>
      <c r="J130" s="5"/>
      <c r="K130" s="5">
        <v>233</v>
      </c>
      <c r="L130" s="5">
        <v>24</v>
      </c>
      <c r="M130" s="5">
        <v>3</v>
      </c>
      <c r="N130" s="5" t="s">
        <v>3</v>
      </c>
      <c r="O130" s="5">
        <v>2</v>
      </c>
      <c r="P130" s="5">
        <f>ROUND(Source!EV105,O130)</f>
        <v>0</v>
      </c>
      <c r="Q130" s="5"/>
      <c r="R130" s="5"/>
      <c r="S130" s="5"/>
      <c r="T130" s="5"/>
      <c r="U130" s="5"/>
      <c r="V130" s="5"/>
      <c r="W130" s="5">
        <v>0</v>
      </c>
      <c r="X130" s="5">
        <v>1</v>
      </c>
      <c r="Y130" s="5">
        <v>0</v>
      </c>
      <c r="Z130" s="5">
        <v>0</v>
      </c>
      <c r="AA130" s="5">
        <v>1</v>
      </c>
      <c r="AB130" s="5">
        <v>0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210</v>
      </c>
      <c r="F131" s="5">
        <f>ROUND(Source!X105,O131)</f>
        <v>3162.52</v>
      </c>
      <c r="G131" s="5" t="s">
        <v>254</v>
      </c>
      <c r="H131" s="5" t="s">
        <v>255</v>
      </c>
      <c r="I131" s="5"/>
      <c r="J131" s="5"/>
      <c r="K131" s="5">
        <v>210</v>
      </c>
      <c r="L131" s="5">
        <v>25</v>
      </c>
      <c r="M131" s="5">
        <v>3</v>
      </c>
      <c r="N131" s="5" t="s">
        <v>3</v>
      </c>
      <c r="O131" s="5">
        <v>2</v>
      </c>
      <c r="P131" s="5">
        <f>ROUND(Source!DP105,O131)</f>
        <v>118087.68</v>
      </c>
      <c r="Q131" s="5"/>
      <c r="R131" s="5"/>
      <c r="S131" s="5"/>
      <c r="T131" s="5"/>
      <c r="U131" s="5"/>
      <c r="V131" s="5"/>
      <c r="W131" s="5">
        <v>3162.52</v>
      </c>
      <c r="X131" s="5">
        <v>1</v>
      </c>
      <c r="Y131" s="5">
        <v>3162.52</v>
      </c>
      <c r="Z131" s="5">
        <v>118087.68</v>
      </c>
      <c r="AA131" s="5">
        <v>1</v>
      </c>
      <c r="AB131" s="5">
        <v>118087.68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211</v>
      </c>
      <c r="F132" s="5">
        <f>ROUND(Source!Y105,O132)</f>
        <v>1878.88</v>
      </c>
      <c r="G132" s="5" t="s">
        <v>256</v>
      </c>
      <c r="H132" s="5" t="s">
        <v>257</v>
      </c>
      <c r="I132" s="5"/>
      <c r="J132" s="5"/>
      <c r="K132" s="5">
        <v>211</v>
      </c>
      <c r="L132" s="5">
        <v>26</v>
      </c>
      <c r="M132" s="5">
        <v>3</v>
      </c>
      <c r="N132" s="5" t="s">
        <v>3</v>
      </c>
      <c r="O132" s="5">
        <v>2</v>
      </c>
      <c r="P132" s="5">
        <f>ROUND(Source!DQ105,O132)</f>
        <v>70156.9</v>
      </c>
      <c r="Q132" s="5"/>
      <c r="R132" s="5"/>
      <c r="S132" s="5"/>
      <c r="T132" s="5"/>
      <c r="U132" s="5"/>
      <c r="V132" s="5"/>
      <c r="W132" s="5">
        <v>1878.88</v>
      </c>
      <c r="X132" s="5">
        <v>1</v>
      </c>
      <c r="Y132" s="5">
        <v>1878.88</v>
      </c>
      <c r="Z132" s="5">
        <v>70156.9</v>
      </c>
      <c r="AA132" s="5">
        <v>1</v>
      </c>
      <c r="AB132" s="5">
        <v>70156.9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224</v>
      </c>
      <c r="F133" s="5">
        <f>ROUND(Source!AR105,O133)</f>
        <v>2622440.46</v>
      </c>
      <c r="G133" s="5" t="s">
        <v>258</v>
      </c>
      <c r="H133" s="5" t="s">
        <v>259</v>
      </c>
      <c r="I133" s="5"/>
      <c r="J133" s="5"/>
      <c r="K133" s="5">
        <v>224</v>
      </c>
      <c r="L133" s="5">
        <v>27</v>
      </c>
      <c r="M133" s="5">
        <v>3</v>
      </c>
      <c r="N133" s="5" t="s">
        <v>3</v>
      </c>
      <c r="O133" s="5">
        <v>2</v>
      </c>
      <c r="P133" s="5">
        <f>ROUND(Source!EJ105,O133)</f>
        <v>2962329.15</v>
      </c>
      <c r="Q133" s="5"/>
      <c r="R133" s="5"/>
      <c r="S133" s="5"/>
      <c r="T133" s="5"/>
      <c r="U133" s="5"/>
      <c r="V133" s="5"/>
      <c r="W133" s="5">
        <v>2622440.4599999995</v>
      </c>
      <c r="X133" s="5">
        <v>1</v>
      </c>
      <c r="Y133" s="5">
        <v>2622440.4599999995</v>
      </c>
      <c r="Z133" s="5">
        <v>2962329.15</v>
      </c>
      <c r="AA133" s="5">
        <v>1</v>
      </c>
      <c r="AB133" s="5">
        <v>2962329.15</v>
      </c>
    </row>
    <row r="134" spans="1:28" ht="12.75">
      <c r="A134" s="5">
        <v>50</v>
      </c>
      <c r="B134" s="5">
        <v>1</v>
      </c>
      <c r="C134" s="5">
        <v>0</v>
      </c>
      <c r="D134" s="5">
        <v>2</v>
      </c>
      <c r="E134" s="5">
        <v>0</v>
      </c>
      <c r="F134" s="5">
        <f>ROUND(F133,O134)</f>
        <v>2622440.46</v>
      </c>
      <c r="G134" s="5" t="s">
        <v>260</v>
      </c>
      <c r="H134" s="5" t="s">
        <v>261</v>
      </c>
      <c r="I134" s="5"/>
      <c r="J134" s="5"/>
      <c r="K134" s="5">
        <v>212</v>
      </c>
      <c r="L134" s="5">
        <v>28</v>
      </c>
      <c r="M134" s="5">
        <v>0</v>
      </c>
      <c r="N134" s="5" t="s">
        <v>3</v>
      </c>
      <c r="O134" s="5">
        <v>2</v>
      </c>
      <c r="P134" s="5">
        <f>ROUND(P133,O134)</f>
        <v>2962329.15</v>
      </c>
      <c r="Q134" s="5"/>
      <c r="R134" s="5"/>
      <c r="S134" s="5"/>
      <c r="T134" s="5"/>
      <c r="U134" s="5"/>
      <c r="V134" s="5"/>
      <c r="W134" s="5">
        <v>2622440.46</v>
      </c>
      <c r="X134" s="5">
        <v>1</v>
      </c>
      <c r="Y134" s="5">
        <v>2622440.46</v>
      </c>
      <c r="Z134" s="5">
        <v>2962329.15</v>
      </c>
      <c r="AA134" s="5">
        <v>1</v>
      </c>
      <c r="AB134" s="5">
        <v>2962329.15</v>
      </c>
    </row>
    <row r="136" spans="1:88" ht="12.75">
      <c r="A136" s="1">
        <v>4</v>
      </c>
      <c r="B136" s="1">
        <v>1</v>
      </c>
      <c r="C136" s="1"/>
      <c r="D136" s="1">
        <f>ROW(A145)</f>
        <v>145</v>
      </c>
      <c r="E136" s="1"/>
      <c r="F136" s="1" t="s">
        <v>21</v>
      </c>
      <c r="G136" s="1" t="s">
        <v>262</v>
      </c>
      <c r="H136" s="1" t="s">
        <v>3</v>
      </c>
      <c r="I136" s="1">
        <v>0</v>
      </c>
      <c r="J136" s="1"/>
      <c r="K136" s="1">
        <v>0</v>
      </c>
      <c r="L136" s="1"/>
      <c r="M136" s="1" t="s">
        <v>3</v>
      </c>
      <c r="N136" s="1"/>
      <c r="O136" s="1"/>
      <c r="P136" s="1"/>
      <c r="Q136" s="1"/>
      <c r="R136" s="1"/>
      <c r="S136" s="1">
        <v>0</v>
      </c>
      <c r="T136" s="1">
        <v>0</v>
      </c>
      <c r="U136" s="1" t="s">
        <v>3</v>
      </c>
      <c r="V136" s="1">
        <v>0</v>
      </c>
      <c r="W136" s="1"/>
      <c r="X136" s="1"/>
      <c r="Y136" s="1"/>
      <c r="Z136" s="1"/>
      <c r="AA136" s="1"/>
      <c r="AB136" s="1" t="s">
        <v>3</v>
      </c>
      <c r="AC136" s="1" t="s">
        <v>3</v>
      </c>
      <c r="AD136" s="1" t="s">
        <v>3</v>
      </c>
      <c r="AE136" s="1" t="s">
        <v>3</v>
      </c>
      <c r="AF136" s="1" t="s">
        <v>3</v>
      </c>
      <c r="AG136" s="1" t="s">
        <v>3</v>
      </c>
      <c r="AH136" s="1"/>
      <c r="AI136" s="1"/>
      <c r="AJ136" s="1"/>
      <c r="AK136" s="1"/>
      <c r="AL136" s="1"/>
      <c r="AM136" s="1"/>
      <c r="AN136" s="1"/>
      <c r="AO136" s="1"/>
      <c r="AP136" s="1" t="s">
        <v>3</v>
      </c>
      <c r="AQ136" s="1" t="s">
        <v>3</v>
      </c>
      <c r="AR136" s="1" t="s">
        <v>3</v>
      </c>
      <c r="AS136" s="1"/>
      <c r="AT136" s="1"/>
      <c r="AU136" s="1"/>
      <c r="AV136" s="1"/>
      <c r="AW136" s="1"/>
      <c r="AX136" s="1"/>
      <c r="AY136" s="1"/>
      <c r="AZ136" s="1" t="s">
        <v>3</v>
      </c>
      <c r="BA136" s="1"/>
      <c r="BB136" s="1" t="s">
        <v>3</v>
      </c>
      <c r="BC136" s="1" t="s">
        <v>3</v>
      </c>
      <c r="BD136" s="1" t="s">
        <v>3</v>
      </c>
      <c r="BE136" s="1" t="s">
        <v>3</v>
      </c>
      <c r="BF136" s="1" t="s">
        <v>3</v>
      </c>
      <c r="BG136" s="1" t="s">
        <v>3</v>
      </c>
      <c r="BH136" s="1" t="s">
        <v>3</v>
      </c>
      <c r="BI136" s="1" t="s">
        <v>3</v>
      </c>
      <c r="BJ136" s="1" t="s">
        <v>3</v>
      </c>
      <c r="BK136" s="1" t="s">
        <v>3</v>
      </c>
      <c r="BL136" s="1" t="s">
        <v>3</v>
      </c>
      <c r="BM136" s="1" t="s">
        <v>3</v>
      </c>
      <c r="BN136" s="1" t="s">
        <v>3</v>
      </c>
      <c r="BO136" s="1" t="s">
        <v>3</v>
      </c>
      <c r="BP136" s="1" t="s">
        <v>3</v>
      </c>
      <c r="BQ136" s="1"/>
      <c r="BR136" s="1"/>
      <c r="BS136" s="1"/>
      <c r="BT136" s="1"/>
      <c r="BU136" s="1"/>
      <c r="BV136" s="1"/>
      <c r="BW136" s="1"/>
      <c r="BX136" s="1">
        <v>0</v>
      </c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>
        <v>0</v>
      </c>
    </row>
    <row r="138" spans="1:206" ht="12.75">
      <c r="A138" s="3">
        <v>52</v>
      </c>
      <c r="B138" s="3">
        <f aca="true" t="shared" si="148" ref="B138:G138">B145</f>
        <v>1</v>
      </c>
      <c r="C138" s="3">
        <f t="shared" si="148"/>
        <v>4</v>
      </c>
      <c r="D138" s="3">
        <f t="shared" si="148"/>
        <v>136</v>
      </c>
      <c r="E138" s="3">
        <f t="shared" si="148"/>
        <v>0</v>
      </c>
      <c r="F138" s="3" t="str">
        <f t="shared" si="148"/>
        <v>Новый раздел</v>
      </c>
      <c r="G138" s="3" t="str">
        <f t="shared" si="148"/>
        <v>Разные работы</v>
      </c>
      <c r="H138" s="3"/>
      <c r="I138" s="3"/>
      <c r="J138" s="3"/>
      <c r="K138" s="3"/>
      <c r="L138" s="3"/>
      <c r="M138" s="3"/>
      <c r="N138" s="3"/>
      <c r="O138" s="3">
        <f aca="true" t="shared" si="149" ref="O138:AT138">O145</f>
        <v>0</v>
      </c>
      <c r="P138" s="3">
        <f t="shared" si="149"/>
        <v>0</v>
      </c>
      <c r="Q138" s="3">
        <f t="shared" si="149"/>
        <v>0</v>
      </c>
      <c r="R138" s="3">
        <f t="shared" si="149"/>
        <v>0</v>
      </c>
      <c r="S138" s="3">
        <f t="shared" si="149"/>
        <v>0</v>
      </c>
      <c r="T138" s="3">
        <f t="shared" si="149"/>
        <v>0</v>
      </c>
      <c r="U138" s="3">
        <f t="shared" si="149"/>
        <v>0</v>
      </c>
      <c r="V138" s="3">
        <f t="shared" si="149"/>
        <v>0</v>
      </c>
      <c r="W138" s="3">
        <f t="shared" si="149"/>
        <v>0</v>
      </c>
      <c r="X138" s="3">
        <f t="shared" si="149"/>
        <v>0</v>
      </c>
      <c r="Y138" s="3">
        <f t="shared" si="149"/>
        <v>0</v>
      </c>
      <c r="Z138" s="3">
        <f t="shared" si="149"/>
        <v>0</v>
      </c>
      <c r="AA138" s="3">
        <f t="shared" si="149"/>
        <v>0</v>
      </c>
      <c r="AB138" s="3">
        <f t="shared" si="149"/>
        <v>0</v>
      </c>
      <c r="AC138" s="3">
        <f t="shared" si="149"/>
        <v>0</v>
      </c>
      <c r="AD138" s="3">
        <f t="shared" si="149"/>
        <v>0</v>
      </c>
      <c r="AE138" s="3">
        <f t="shared" si="149"/>
        <v>0</v>
      </c>
      <c r="AF138" s="3">
        <f t="shared" si="149"/>
        <v>0</v>
      </c>
      <c r="AG138" s="3">
        <f t="shared" si="149"/>
        <v>0</v>
      </c>
      <c r="AH138" s="3">
        <f t="shared" si="149"/>
        <v>0</v>
      </c>
      <c r="AI138" s="3">
        <f t="shared" si="149"/>
        <v>0</v>
      </c>
      <c r="AJ138" s="3">
        <f t="shared" si="149"/>
        <v>0</v>
      </c>
      <c r="AK138" s="3">
        <f t="shared" si="149"/>
        <v>0</v>
      </c>
      <c r="AL138" s="3">
        <f t="shared" si="149"/>
        <v>0</v>
      </c>
      <c r="AM138" s="3">
        <f t="shared" si="149"/>
        <v>0</v>
      </c>
      <c r="AN138" s="3">
        <f t="shared" si="149"/>
        <v>0</v>
      </c>
      <c r="AO138" s="3">
        <f t="shared" si="149"/>
        <v>0</v>
      </c>
      <c r="AP138" s="3">
        <f t="shared" si="149"/>
        <v>0</v>
      </c>
      <c r="AQ138" s="3">
        <f t="shared" si="149"/>
        <v>0</v>
      </c>
      <c r="AR138" s="3">
        <f t="shared" si="149"/>
        <v>133.3</v>
      </c>
      <c r="AS138" s="3">
        <f t="shared" si="149"/>
        <v>133.3</v>
      </c>
      <c r="AT138" s="3">
        <f t="shared" si="149"/>
        <v>0</v>
      </c>
      <c r="AU138" s="3">
        <f aca="true" t="shared" si="150" ref="AU138:BZ138">AU145</f>
        <v>0</v>
      </c>
      <c r="AV138" s="3">
        <f t="shared" si="150"/>
        <v>0</v>
      </c>
      <c r="AW138" s="3">
        <f t="shared" si="150"/>
        <v>0</v>
      </c>
      <c r="AX138" s="3">
        <f t="shared" si="150"/>
        <v>0</v>
      </c>
      <c r="AY138" s="3">
        <f t="shared" si="150"/>
        <v>0</v>
      </c>
      <c r="AZ138" s="3">
        <f t="shared" si="150"/>
        <v>0</v>
      </c>
      <c r="BA138" s="3">
        <f t="shared" si="150"/>
        <v>0</v>
      </c>
      <c r="BB138" s="3">
        <f t="shared" si="150"/>
        <v>0</v>
      </c>
      <c r="BC138" s="3">
        <f t="shared" si="150"/>
        <v>0</v>
      </c>
      <c r="BD138" s="3">
        <f t="shared" si="150"/>
        <v>133.3</v>
      </c>
      <c r="BE138" s="3">
        <f t="shared" si="150"/>
        <v>0</v>
      </c>
      <c r="BF138" s="3">
        <f t="shared" si="150"/>
        <v>0</v>
      </c>
      <c r="BG138" s="3">
        <f t="shared" si="150"/>
        <v>0</v>
      </c>
      <c r="BH138" s="3">
        <f t="shared" si="150"/>
        <v>0</v>
      </c>
      <c r="BI138" s="3">
        <f t="shared" si="150"/>
        <v>0</v>
      </c>
      <c r="BJ138" s="3">
        <f t="shared" si="150"/>
        <v>0</v>
      </c>
      <c r="BK138" s="3">
        <f t="shared" si="150"/>
        <v>0</v>
      </c>
      <c r="BL138" s="3">
        <f t="shared" si="150"/>
        <v>0</v>
      </c>
      <c r="BM138" s="3">
        <f t="shared" si="150"/>
        <v>0</v>
      </c>
      <c r="BN138" s="3">
        <f t="shared" si="150"/>
        <v>0</v>
      </c>
      <c r="BO138" s="3">
        <f t="shared" si="150"/>
        <v>0</v>
      </c>
      <c r="BP138" s="3">
        <f t="shared" si="150"/>
        <v>0</v>
      </c>
      <c r="BQ138" s="3">
        <f t="shared" si="150"/>
        <v>0</v>
      </c>
      <c r="BR138" s="3">
        <f t="shared" si="150"/>
        <v>0</v>
      </c>
      <c r="BS138" s="3">
        <f t="shared" si="150"/>
        <v>0</v>
      </c>
      <c r="BT138" s="3">
        <f t="shared" si="150"/>
        <v>0</v>
      </c>
      <c r="BU138" s="3">
        <f t="shared" si="150"/>
        <v>0</v>
      </c>
      <c r="BV138" s="3">
        <f t="shared" si="150"/>
        <v>0</v>
      </c>
      <c r="BW138" s="3">
        <f t="shared" si="150"/>
        <v>0</v>
      </c>
      <c r="BX138" s="3">
        <f t="shared" si="150"/>
        <v>0</v>
      </c>
      <c r="BY138" s="3">
        <f t="shared" si="150"/>
        <v>0</v>
      </c>
      <c r="BZ138" s="3">
        <f t="shared" si="150"/>
        <v>0</v>
      </c>
      <c r="CA138" s="3">
        <f aca="true" t="shared" si="151" ref="CA138:DF138">CA145</f>
        <v>133.3</v>
      </c>
      <c r="CB138" s="3">
        <f t="shared" si="151"/>
        <v>133.3</v>
      </c>
      <c r="CC138" s="3">
        <f t="shared" si="151"/>
        <v>0</v>
      </c>
      <c r="CD138" s="3">
        <f t="shared" si="151"/>
        <v>0</v>
      </c>
      <c r="CE138" s="3">
        <f t="shared" si="151"/>
        <v>0</v>
      </c>
      <c r="CF138" s="3">
        <f t="shared" si="151"/>
        <v>0</v>
      </c>
      <c r="CG138" s="3">
        <f t="shared" si="151"/>
        <v>0</v>
      </c>
      <c r="CH138" s="3">
        <f t="shared" si="151"/>
        <v>0</v>
      </c>
      <c r="CI138" s="3">
        <f t="shared" si="151"/>
        <v>0</v>
      </c>
      <c r="CJ138" s="3">
        <f t="shared" si="151"/>
        <v>0</v>
      </c>
      <c r="CK138" s="3">
        <f t="shared" si="151"/>
        <v>0</v>
      </c>
      <c r="CL138" s="3">
        <f t="shared" si="151"/>
        <v>0</v>
      </c>
      <c r="CM138" s="3">
        <f t="shared" si="151"/>
        <v>133.3</v>
      </c>
      <c r="CN138" s="3">
        <f t="shared" si="151"/>
        <v>0</v>
      </c>
      <c r="CO138" s="3">
        <f t="shared" si="151"/>
        <v>0</v>
      </c>
      <c r="CP138" s="3">
        <f t="shared" si="151"/>
        <v>0</v>
      </c>
      <c r="CQ138" s="3">
        <f t="shared" si="151"/>
        <v>0</v>
      </c>
      <c r="CR138" s="3">
        <f t="shared" si="151"/>
        <v>0</v>
      </c>
      <c r="CS138" s="3">
        <f t="shared" si="151"/>
        <v>0</v>
      </c>
      <c r="CT138" s="3">
        <f t="shared" si="151"/>
        <v>0</v>
      </c>
      <c r="CU138" s="3">
        <f t="shared" si="151"/>
        <v>0</v>
      </c>
      <c r="CV138" s="3">
        <f t="shared" si="151"/>
        <v>0</v>
      </c>
      <c r="CW138" s="3">
        <f t="shared" si="151"/>
        <v>0</v>
      </c>
      <c r="CX138" s="3">
        <f t="shared" si="151"/>
        <v>0</v>
      </c>
      <c r="CY138" s="3">
        <f t="shared" si="151"/>
        <v>0</v>
      </c>
      <c r="CZ138" s="3">
        <f t="shared" si="151"/>
        <v>0</v>
      </c>
      <c r="DA138" s="3">
        <f t="shared" si="151"/>
        <v>0</v>
      </c>
      <c r="DB138" s="3">
        <f t="shared" si="151"/>
        <v>0</v>
      </c>
      <c r="DC138" s="3">
        <f t="shared" si="151"/>
        <v>0</v>
      </c>
      <c r="DD138" s="3">
        <f t="shared" si="151"/>
        <v>0</v>
      </c>
      <c r="DE138" s="3">
        <f t="shared" si="151"/>
        <v>0</v>
      </c>
      <c r="DF138" s="3">
        <f t="shared" si="151"/>
        <v>0</v>
      </c>
      <c r="DG138" s="4">
        <f aca="true" t="shared" si="152" ref="DG138:EL138">DG145</f>
        <v>0</v>
      </c>
      <c r="DH138" s="4">
        <f t="shared" si="152"/>
        <v>0</v>
      </c>
      <c r="DI138" s="4">
        <f t="shared" si="152"/>
        <v>0</v>
      </c>
      <c r="DJ138" s="4">
        <f t="shared" si="152"/>
        <v>0</v>
      </c>
      <c r="DK138" s="4">
        <f t="shared" si="152"/>
        <v>0</v>
      </c>
      <c r="DL138" s="4">
        <f t="shared" si="152"/>
        <v>0</v>
      </c>
      <c r="DM138" s="4">
        <f t="shared" si="152"/>
        <v>0</v>
      </c>
      <c r="DN138" s="4">
        <f t="shared" si="152"/>
        <v>0</v>
      </c>
      <c r="DO138" s="4">
        <f t="shared" si="152"/>
        <v>0</v>
      </c>
      <c r="DP138" s="4">
        <f t="shared" si="152"/>
        <v>0</v>
      </c>
      <c r="DQ138" s="4">
        <f t="shared" si="152"/>
        <v>0</v>
      </c>
      <c r="DR138" s="4">
        <f t="shared" si="152"/>
        <v>0</v>
      </c>
      <c r="DS138" s="4">
        <f t="shared" si="152"/>
        <v>0</v>
      </c>
      <c r="DT138" s="4">
        <f t="shared" si="152"/>
        <v>0</v>
      </c>
      <c r="DU138" s="4">
        <f t="shared" si="152"/>
        <v>0</v>
      </c>
      <c r="DV138" s="4">
        <f t="shared" si="152"/>
        <v>0</v>
      </c>
      <c r="DW138" s="4">
        <f t="shared" si="152"/>
        <v>0</v>
      </c>
      <c r="DX138" s="4">
        <f t="shared" si="152"/>
        <v>0</v>
      </c>
      <c r="DY138" s="4">
        <f t="shared" si="152"/>
        <v>0</v>
      </c>
      <c r="DZ138" s="4">
        <f t="shared" si="152"/>
        <v>0</v>
      </c>
      <c r="EA138" s="4">
        <f t="shared" si="152"/>
        <v>0</v>
      </c>
      <c r="EB138" s="4">
        <f t="shared" si="152"/>
        <v>0</v>
      </c>
      <c r="EC138" s="4">
        <f t="shared" si="152"/>
        <v>0</v>
      </c>
      <c r="ED138" s="4">
        <f t="shared" si="152"/>
        <v>0</v>
      </c>
      <c r="EE138" s="4">
        <f t="shared" si="152"/>
        <v>0</v>
      </c>
      <c r="EF138" s="4">
        <f t="shared" si="152"/>
        <v>0</v>
      </c>
      <c r="EG138" s="4">
        <f t="shared" si="152"/>
        <v>0</v>
      </c>
      <c r="EH138" s="4">
        <f t="shared" si="152"/>
        <v>0</v>
      </c>
      <c r="EI138" s="4">
        <f t="shared" si="152"/>
        <v>0</v>
      </c>
      <c r="EJ138" s="4">
        <f t="shared" si="152"/>
        <v>1764.89</v>
      </c>
      <c r="EK138" s="4">
        <f t="shared" si="152"/>
        <v>1764.89</v>
      </c>
      <c r="EL138" s="4">
        <f t="shared" si="152"/>
        <v>0</v>
      </c>
      <c r="EM138" s="4">
        <f aca="true" t="shared" si="153" ref="EM138:FR138">EM145</f>
        <v>0</v>
      </c>
      <c r="EN138" s="4">
        <f t="shared" si="153"/>
        <v>0</v>
      </c>
      <c r="EO138" s="4">
        <f t="shared" si="153"/>
        <v>0</v>
      </c>
      <c r="EP138" s="4">
        <f t="shared" si="153"/>
        <v>0</v>
      </c>
      <c r="EQ138" s="4">
        <f t="shared" si="153"/>
        <v>0</v>
      </c>
      <c r="ER138" s="4">
        <f t="shared" si="153"/>
        <v>0</v>
      </c>
      <c r="ES138" s="4">
        <f t="shared" si="153"/>
        <v>0</v>
      </c>
      <c r="ET138" s="4">
        <f t="shared" si="153"/>
        <v>0</v>
      </c>
      <c r="EU138" s="4">
        <f t="shared" si="153"/>
        <v>0</v>
      </c>
      <c r="EV138" s="4">
        <f t="shared" si="153"/>
        <v>1764.89</v>
      </c>
      <c r="EW138" s="4">
        <f t="shared" si="153"/>
        <v>0</v>
      </c>
      <c r="EX138" s="4">
        <f t="shared" si="153"/>
        <v>0</v>
      </c>
      <c r="EY138" s="4">
        <f t="shared" si="153"/>
        <v>0</v>
      </c>
      <c r="EZ138" s="4">
        <f t="shared" si="153"/>
        <v>0</v>
      </c>
      <c r="FA138" s="4">
        <f t="shared" si="153"/>
        <v>0</v>
      </c>
      <c r="FB138" s="4">
        <f t="shared" si="153"/>
        <v>0</v>
      </c>
      <c r="FC138" s="4">
        <f t="shared" si="153"/>
        <v>0</v>
      </c>
      <c r="FD138" s="4">
        <f t="shared" si="153"/>
        <v>0</v>
      </c>
      <c r="FE138" s="4">
        <f t="shared" si="153"/>
        <v>0</v>
      </c>
      <c r="FF138" s="4">
        <f t="shared" si="153"/>
        <v>0</v>
      </c>
      <c r="FG138" s="4">
        <f t="shared" si="153"/>
        <v>0</v>
      </c>
      <c r="FH138" s="4">
        <f t="shared" si="153"/>
        <v>0</v>
      </c>
      <c r="FI138" s="4">
        <f t="shared" si="153"/>
        <v>0</v>
      </c>
      <c r="FJ138" s="4">
        <f t="shared" si="153"/>
        <v>0</v>
      </c>
      <c r="FK138" s="4">
        <f t="shared" si="153"/>
        <v>0</v>
      </c>
      <c r="FL138" s="4">
        <f t="shared" si="153"/>
        <v>0</v>
      </c>
      <c r="FM138" s="4">
        <f t="shared" si="153"/>
        <v>0</v>
      </c>
      <c r="FN138" s="4">
        <f t="shared" si="153"/>
        <v>0</v>
      </c>
      <c r="FO138" s="4">
        <f t="shared" si="153"/>
        <v>0</v>
      </c>
      <c r="FP138" s="4">
        <f t="shared" si="153"/>
        <v>0</v>
      </c>
      <c r="FQ138" s="4">
        <f t="shared" si="153"/>
        <v>0</v>
      </c>
      <c r="FR138" s="4">
        <f t="shared" si="153"/>
        <v>0</v>
      </c>
      <c r="FS138" s="4">
        <f aca="true" t="shared" si="154" ref="FS138:GX138">FS145</f>
        <v>1764.89</v>
      </c>
      <c r="FT138" s="4">
        <f t="shared" si="154"/>
        <v>1764.89</v>
      </c>
      <c r="FU138" s="4">
        <f t="shared" si="154"/>
        <v>0</v>
      </c>
      <c r="FV138" s="4">
        <f t="shared" si="154"/>
        <v>0</v>
      </c>
      <c r="FW138" s="4">
        <f t="shared" si="154"/>
        <v>0</v>
      </c>
      <c r="FX138" s="4">
        <f t="shared" si="154"/>
        <v>0</v>
      </c>
      <c r="FY138" s="4">
        <f t="shared" si="154"/>
        <v>0</v>
      </c>
      <c r="FZ138" s="4">
        <f t="shared" si="154"/>
        <v>0</v>
      </c>
      <c r="GA138" s="4">
        <f t="shared" si="154"/>
        <v>0</v>
      </c>
      <c r="GB138" s="4">
        <f t="shared" si="154"/>
        <v>0</v>
      </c>
      <c r="GC138" s="4">
        <f t="shared" si="154"/>
        <v>0</v>
      </c>
      <c r="GD138" s="4">
        <f t="shared" si="154"/>
        <v>0</v>
      </c>
      <c r="GE138" s="4">
        <f t="shared" si="154"/>
        <v>1764.89</v>
      </c>
      <c r="GF138" s="4">
        <f t="shared" si="154"/>
        <v>0</v>
      </c>
      <c r="GG138" s="4">
        <f t="shared" si="154"/>
        <v>0</v>
      </c>
      <c r="GH138" s="4">
        <f t="shared" si="154"/>
        <v>0</v>
      </c>
      <c r="GI138" s="4">
        <f t="shared" si="154"/>
        <v>0</v>
      </c>
      <c r="GJ138" s="4">
        <f t="shared" si="154"/>
        <v>0</v>
      </c>
      <c r="GK138" s="4">
        <f t="shared" si="154"/>
        <v>0</v>
      </c>
      <c r="GL138" s="4">
        <f t="shared" si="154"/>
        <v>0</v>
      </c>
      <c r="GM138" s="4">
        <f t="shared" si="154"/>
        <v>0</v>
      </c>
      <c r="GN138" s="4">
        <f t="shared" si="154"/>
        <v>0</v>
      </c>
      <c r="GO138" s="4">
        <f t="shared" si="154"/>
        <v>0</v>
      </c>
      <c r="GP138" s="4">
        <f t="shared" si="154"/>
        <v>0</v>
      </c>
      <c r="GQ138" s="4">
        <f t="shared" si="154"/>
        <v>0</v>
      </c>
      <c r="GR138" s="4">
        <f t="shared" si="154"/>
        <v>0</v>
      </c>
      <c r="GS138" s="4">
        <f t="shared" si="154"/>
        <v>0</v>
      </c>
      <c r="GT138" s="4">
        <f t="shared" si="154"/>
        <v>0</v>
      </c>
      <c r="GU138" s="4">
        <f t="shared" si="154"/>
        <v>0</v>
      </c>
      <c r="GV138" s="4">
        <f t="shared" si="154"/>
        <v>0</v>
      </c>
      <c r="GW138" s="4">
        <f t="shared" si="154"/>
        <v>0</v>
      </c>
      <c r="GX138" s="4">
        <f t="shared" si="154"/>
        <v>0</v>
      </c>
    </row>
    <row r="140" spans="1:255" ht="12.75">
      <c r="A140" s="2">
        <v>17</v>
      </c>
      <c r="B140" s="2">
        <v>1</v>
      </c>
      <c r="C140" s="2">
        <f>ROW(SmtRes!A232)</f>
        <v>232</v>
      </c>
      <c r="D140" s="2"/>
      <c r="E140" s="2" t="s">
        <v>263</v>
      </c>
      <c r="F140" s="2" t="s">
        <v>264</v>
      </c>
      <c r="G140" s="2" t="s">
        <v>265</v>
      </c>
      <c r="H140" s="2" t="s">
        <v>266</v>
      </c>
      <c r="I140" s="2">
        <v>2</v>
      </c>
      <c r="J140" s="2">
        <v>0</v>
      </c>
      <c r="K140" s="2">
        <v>2</v>
      </c>
      <c r="L140" s="2"/>
      <c r="M140" s="2"/>
      <c r="N140" s="2"/>
      <c r="O140" s="2">
        <f>0</f>
        <v>0</v>
      </c>
      <c r="P140" s="2">
        <f>0</f>
        <v>0</v>
      </c>
      <c r="Q140" s="2">
        <f>0</f>
        <v>0</v>
      </c>
      <c r="R140" s="2">
        <f>0</f>
        <v>0</v>
      </c>
      <c r="S140" s="2">
        <f>0</f>
        <v>0</v>
      </c>
      <c r="T140" s="2">
        <f>0</f>
        <v>0</v>
      </c>
      <c r="U140" s="2">
        <f>0</f>
        <v>0</v>
      </c>
      <c r="V140" s="2">
        <f>0</f>
        <v>0</v>
      </c>
      <c r="W140" s="2">
        <f>0</f>
        <v>0</v>
      </c>
      <c r="X140" s="2">
        <f>0</f>
        <v>0</v>
      </c>
      <c r="Y140" s="2">
        <f>0</f>
        <v>0</v>
      </c>
      <c r="Z140" s="2"/>
      <c r="AA140" s="2">
        <v>55656218</v>
      </c>
      <c r="AB140" s="2">
        <f>ROUND((AK140),2)</f>
        <v>42.98</v>
      </c>
      <c r="AC140" s="2">
        <f>0</f>
        <v>0</v>
      </c>
      <c r="AD140" s="2">
        <f>0</f>
        <v>0</v>
      </c>
      <c r="AE140" s="2">
        <f>0</f>
        <v>0</v>
      </c>
      <c r="AF140" s="2">
        <f>0</f>
        <v>0</v>
      </c>
      <c r="AG140" s="2">
        <f>0</f>
        <v>0</v>
      </c>
      <c r="AH140" s="2">
        <f>0</f>
        <v>0</v>
      </c>
      <c r="AI140" s="2">
        <f>0</f>
        <v>0</v>
      </c>
      <c r="AJ140" s="2">
        <f>0</f>
        <v>0</v>
      </c>
      <c r="AK140" s="2">
        <v>42.98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3</v>
      </c>
      <c r="BE140" s="2" t="s">
        <v>3</v>
      </c>
      <c r="BF140" s="2" t="s">
        <v>3</v>
      </c>
      <c r="BG140" s="2" t="s">
        <v>3</v>
      </c>
      <c r="BH140" s="2">
        <v>0</v>
      </c>
      <c r="BI140" s="2">
        <v>1</v>
      </c>
      <c r="BJ140" s="2" t="s">
        <v>267</v>
      </c>
      <c r="BK140" s="2"/>
      <c r="BL140" s="2"/>
      <c r="BM140" s="2">
        <v>700004</v>
      </c>
      <c r="BN140" s="2">
        <v>37765882</v>
      </c>
      <c r="BO140" s="2" t="s">
        <v>3</v>
      </c>
      <c r="BP140" s="2">
        <v>0</v>
      </c>
      <c r="BQ140" s="2">
        <v>19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3</v>
      </c>
      <c r="BZ140" s="2">
        <v>0</v>
      </c>
      <c r="CA140" s="2">
        <v>0</v>
      </c>
      <c r="CB140" s="2" t="s">
        <v>3</v>
      </c>
      <c r="CC140" s="2"/>
      <c r="CD140" s="2"/>
      <c r="CE140" s="2">
        <v>0</v>
      </c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3</v>
      </c>
      <c r="CO140" s="2">
        <v>0</v>
      </c>
      <c r="CP140" s="2">
        <f>AB140*AZ140</f>
        <v>42.98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/>
      <c r="DB140" s="2"/>
      <c r="DC140" s="2" t="s">
        <v>3</v>
      </c>
      <c r="DD140" s="2" t="s">
        <v>3</v>
      </c>
      <c r="DE140" s="2" t="s">
        <v>3</v>
      </c>
      <c r="DF140" s="2" t="s">
        <v>3</v>
      </c>
      <c r="DG140" s="2" t="s">
        <v>3</v>
      </c>
      <c r="DH140" s="2" t="s">
        <v>3</v>
      </c>
      <c r="DI140" s="2" t="s">
        <v>3</v>
      </c>
      <c r="DJ140" s="2" t="s">
        <v>3</v>
      </c>
      <c r="DK140" s="2" t="s">
        <v>3</v>
      </c>
      <c r="DL140" s="2" t="s">
        <v>3</v>
      </c>
      <c r="DM140" s="2" t="s">
        <v>3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1013</v>
      </c>
      <c r="DV140" s="2" t="s">
        <v>266</v>
      </c>
      <c r="DW140" s="2" t="s">
        <v>266</v>
      </c>
      <c r="DX140" s="2">
        <v>1</v>
      </c>
      <c r="DY140" s="2"/>
      <c r="DZ140" s="2" t="s">
        <v>3</v>
      </c>
      <c r="EA140" s="2" t="s">
        <v>3</v>
      </c>
      <c r="EB140" s="2" t="s">
        <v>3</v>
      </c>
      <c r="EC140" s="2" t="s">
        <v>3</v>
      </c>
      <c r="ED140" s="2"/>
      <c r="EE140" s="2">
        <v>55471915</v>
      </c>
      <c r="EF140" s="2">
        <v>19</v>
      </c>
      <c r="EG140" s="2" t="s">
        <v>268</v>
      </c>
      <c r="EH140" s="2">
        <v>106</v>
      </c>
      <c r="EI140" s="2" t="s">
        <v>268</v>
      </c>
      <c r="EJ140" s="2">
        <v>1</v>
      </c>
      <c r="EK140" s="2">
        <v>700004</v>
      </c>
      <c r="EL140" s="2" t="s">
        <v>268</v>
      </c>
      <c r="EM140" s="2" t="s">
        <v>269</v>
      </c>
      <c r="EN140" s="2"/>
      <c r="EO140" s="2" t="s">
        <v>3</v>
      </c>
      <c r="EP140" s="2"/>
      <c r="EQ140" s="2">
        <v>65536</v>
      </c>
      <c r="ER140" s="2">
        <v>0</v>
      </c>
      <c r="ES140" s="2">
        <v>0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>
        <v>0</v>
      </c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>ROUND(IF(AND(BH140=3,BI140=3),P140,0),2)</f>
        <v>0</v>
      </c>
      <c r="FS140" s="2">
        <v>0</v>
      </c>
      <c r="FT140" s="2"/>
      <c r="FU140" s="2"/>
      <c r="FV140" s="2"/>
      <c r="FW140" s="2"/>
      <c r="FX140" s="2">
        <v>0</v>
      </c>
      <c r="FY140" s="2">
        <v>0</v>
      </c>
      <c r="FZ140" s="2"/>
      <c r="GA140" s="2" t="s">
        <v>3</v>
      </c>
      <c r="GB140" s="2"/>
      <c r="GC140" s="2"/>
      <c r="GD140" s="2">
        <v>1</v>
      </c>
      <c r="GE140" s="2"/>
      <c r="GF140" s="2">
        <v>1276011705</v>
      </c>
      <c r="GG140" s="2">
        <v>2</v>
      </c>
      <c r="GH140" s="2">
        <v>1</v>
      </c>
      <c r="GI140" s="2">
        <v>-2</v>
      </c>
      <c r="GJ140" s="2">
        <v>2</v>
      </c>
      <c r="GK140" s="2">
        <v>0</v>
      </c>
      <c r="GL140" s="2">
        <f>ROUND(IF(AND(BH140=3,BI140=3,FS140&lt;&gt;0),P140,0),2)</f>
        <v>0</v>
      </c>
      <c r="GM140" s="2">
        <f>ROUND(CP140*I140,2)</f>
        <v>85.96</v>
      </c>
      <c r="GN140" s="2">
        <f>IF(OR(BI140=0,BI140=1),ROUND(CP140*I140,2),0)</f>
        <v>85.96</v>
      </c>
      <c r="GO140" s="2">
        <f>IF(BI140=2,ROUND(CP140*I140,2),0)</f>
        <v>0</v>
      </c>
      <c r="GP140" s="2">
        <f>IF(BI140=4,ROUND(CP140*I140,2)+GX140,0)</f>
        <v>0</v>
      </c>
      <c r="GQ140" s="2"/>
      <c r="GR140" s="2">
        <v>0</v>
      </c>
      <c r="GS140" s="2">
        <v>3</v>
      </c>
      <c r="GT140" s="2">
        <v>0</v>
      </c>
      <c r="GU140" s="2" t="s">
        <v>3</v>
      </c>
      <c r="GV140" s="2">
        <f>0</f>
        <v>0</v>
      </c>
      <c r="GW140" s="2">
        <v>1</v>
      </c>
      <c r="GX140" s="2">
        <f>0</f>
        <v>0</v>
      </c>
      <c r="GY140" s="2"/>
      <c r="GZ140" s="2"/>
      <c r="HA140" s="2">
        <v>0</v>
      </c>
      <c r="HB140" s="2">
        <v>0</v>
      </c>
      <c r="HC140" s="2">
        <v>0</v>
      </c>
      <c r="HD140" s="2">
        <f>GM140</f>
        <v>85.96</v>
      </c>
      <c r="HE140" s="2" t="s">
        <v>3</v>
      </c>
      <c r="HF140" s="2" t="s">
        <v>3</v>
      </c>
      <c r="HG140" s="2"/>
      <c r="HH140" s="2"/>
      <c r="HI140" s="2"/>
      <c r="HJ140" s="2"/>
      <c r="HK140" s="2"/>
      <c r="HL140" s="2"/>
      <c r="HM140" s="2" t="s">
        <v>3</v>
      </c>
      <c r="HN140" s="2" t="s">
        <v>3</v>
      </c>
      <c r="HO140" s="2" t="s">
        <v>3</v>
      </c>
      <c r="HP140" s="2" t="s">
        <v>3</v>
      </c>
      <c r="HQ140" s="2" t="s">
        <v>3</v>
      </c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45" ht="12.75">
      <c r="A141">
        <v>17</v>
      </c>
      <c r="B141">
        <v>1</v>
      </c>
      <c r="C141">
        <f>ROW(SmtRes!A234)</f>
        <v>234</v>
      </c>
      <c r="E141" t="s">
        <v>263</v>
      </c>
      <c r="F141" t="s">
        <v>264</v>
      </c>
      <c r="G141" t="s">
        <v>265</v>
      </c>
      <c r="H141" t="s">
        <v>266</v>
      </c>
      <c r="I141">
        <v>2</v>
      </c>
      <c r="J141">
        <v>0</v>
      </c>
      <c r="K141">
        <v>2</v>
      </c>
      <c r="O141">
        <f>0</f>
        <v>0</v>
      </c>
      <c r="P141">
        <f>0</f>
        <v>0</v>
      </c>
      <c r="Q141">
        <f>0</f>
        <v>0</v>
      </c>
      <c r="R141">
        <f>0</f>
        <v>0</v>
      </c>
      <c r="S141">
        <f>0</f>
        <v>0</v>
      </c>
      <c r="T141">
        <f>0</f>
        <v>0</v>
      </c>
      <c r="U141">
        <f>0</f>
        <v>0</v>
      </c>
      <c r="V141">
        <f>0</f>
        <v>0</v>
      </c>
      <c r="W141">
        <f>0</f>
        <v>0</v>
      </c>
      <c r="X141">
        <f>0</f>
        <v>0</v>
      </c>
      <c r="Y141">
        <f>0</f>
        <v>0</v>
      </c>
      <c r="AA141">
        <v>55657272</v>
      </c>
      <c r="AB141">
        <f>ROUND((AK141),2)</f>
        <v>42.98</v>
      </c>
      <c r="AC141">
        <f>0</f>
        <v>0</v>
      </c>
      <c r="AD141">
        <f>0</f>
        <v>0</v>
      </c>
      <c r="AE141">
        <f>0</f>
        <v>0</v>
      </c>
      <c r="AF141">
        <f>0</f>
        <v>0</v>
      </c>
      <c r="AG141">
        <f>0</f>
        <v>0</v>
      </c>
      <c r="AH141">
        <f>0</f>
        <v>0</v>
      </c>
      <c r="AI141">
        <f>0</f>
        <v>0</v>
      </c>
      <c r="AJ141">
        <f>0</f>
        <v>0</v>
      </c>
      <c r="AK141">
        <v>42.98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Z141">
        <v>13.24</v>
      </c>
      <c r="BA141">
        <v>1</v>
      </c>
      <c r="BB141">
        <v>1</v>
      </c>
      <c r="BC141">
        <v>1</v>
      </c>
      <c r="BH141">
        <v>0</v>
      </c>
      <c r="BI141">
        <v>1</v>
      </c>
      <c r="BJ141" t="s">
        <v>267</v>
      </c>
      <c r="BM141">
        <v>700004</v>
      </c>
      <c r="BN141">
        <v>37765882</v>
      </c>
      <c r="BO141" t="s">
        <v>37</v>
      </c>
      <c r="BP141">
        <v>1</v>
      </c>
      <c r="BQ141">
        <v>19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Z141">
        <v>0</v>
      </c>
      <c r="CA141">
        <v>0</v>
      </c>
      <c r="CE141">
        <v>0</v>
      </c>
      <c r="CF141">
        <v>0</v>
      </c>
      <c r="CG141">
        <v>0</v>
      </c>
      <c r="CM141">
        <v>0</v>
      </c>
      <c r="CO141">
        <v>0</v>
      </c>
      <c r="CP141">
        <f>AB141*AZ141</f>
        <v>569.0552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266</v>
      </c>
      <c r="DW141" t="s">
        <v>266</v>
      </c>
      <c r="DX141">
        <v>1</v>
      </c>
      <c r="EE141">
        <v>55471915</v>
      </c>
      <c r="EF141">
        <v>19</v>
      </c>
      <c r="EG141" t="s">
        <v>268</v>
      </c>
      <c r="EH141">
        <v>106</v>
      </c>
      <c r="EI141" t="s">
        <v>268</v>
      </c>
      <c r="EJ141">
        <v>1</v>
      </c>
      <c r="EK141">
        <v>700004</v>
      </c>
      <c r="EL141" t="s">
        <v>268</v>
      </c>
      <c r="EM141" t="s">
        <v>269</v>
      </c>
      <c r="EQ141">
        <v>65536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FQ141">
        <v>0</v>
      </c>
      <c r="FR141">
        <f>ROUND(IF(AND(BH141=3,BI141=3),P141,0),2)</f>
        <v>0</v>
      </c>
      <c r="FS141">
        <v>0</v>
      </c>
      <c r="FX141">
        <v>0</v>
      </c>
      <c r="FY141">
        <v>0</v>
      </c>
      <c r="GD141">
        <v>1</v>
      </c>
      <c r="GF141">
        <v>1276011705</v>
      </c>
      <c r="GG141">
        <v>2</v>
      </c>
      <c r="GH141">
        <v>1</v>
      </c>
      <c r="GI141">
        <v>4</v>
      </c>
      <c r="GJ141">
        <v>2</v>
      </c>
      <c r="GK141">
        <v>0</v>
      </c>
      <c r="GL141">
        <f>ROUND(IF(AND(BH141=3,BI141=3,FS141&lt;&gt;0),P141,0),2)</f>
        <v>0</v>
      </c>
      <c r="GM141">
        <f>ROUND(CP141*I141,2)</f>
        <v>1138.11</v>
      </c>
      <c r="GN141">
        <f>IF(OR(BI141=0,BI141=1),ROUND(CP141*I141,2),0)</f>
        <v>1138.11</v>
      </c>
      <c r="GO141">
        <f>IF(BI141=2,ROUND(CP141*I141,2),0)</f>
        <v>0</v>
      </c>
      <c r="GP141">
        <f>IF(BI141=4,ROUND(CP141*I141,2)+GX141,0)</f>
        <v>0</v>
      </c>
      <c r="GR141">
        <v>0</v>
      </c>
      <c r="GS141">
        <v>0</v>
      </c>
      <c r="GT141">
        <v>0</v>
      </c>
      <c r="GV141">
        <f>0</f>
        <v>0</v>
      </c>
      <c r="GW141">
        <v>1</v>
      </c>
      <c r="GX141">
        <f>0</f>
        <v>0</v>
      </c>
      <c r="HA141">
        <v>0</v>
      </c>
      <c r="HB141">
        <v>0</v>
      </c>
      <c r="HC141">
        <v>0</v>
      </c>
      <c r="HD141">
        <f>GM141</f>
        <v>1138.11</v>
      </c>
      <c r="IK141">
        <v>0</v>
      </c>
    </row>
    <row r="142" spans="1:255" ht="12.75">
      <c r="A142" s="2">
        <v>17</v>
      </c>
      <c r="B142" s="2">
        <v>1</v>
      </c>
      <c r="C142" s="2"/>
      <c r="D142" s="2"/>
      <c r="E142" s="2" t="s">
        <v>270</v>
      </c>
      <c r="F142" s="2" t="s">
        <v>271</v>
      </c>
      <c r="G142" s="2" t="s">
        <v>272</v>
      </c>
      <c r="H142" s="2" t="s">
        <v>266</v>
      </c>
      <c r="I142" s="2">
        <v>2</v>
      </c>
      <c r="J142" s="2">
        <v>0</v>
      </c>
      <c r="K142" s="2">
        <v>2</v>
      </c>
      <c r="L142" s="2"/>
      <c r="M142" s="2"/>
      <c r="N142" s="2"/>
      <c r="O142" s="2">
        <f>0</f>
        <v>0</v>
      </c>
      <c r="P142" s="2">
        <f>0</f>
        <v>0</v>
      </c>
      <c r="Q142" s="2">
        <f>0</f>
        <v>0</v>
      </c>
      <c r="R142" s="2">
        <f>0</f>
        <v>0</v>
      </c>
      <c r="S142" s="2">
        <f>0</f>
        <v>0</v>
      </c>
      <c r="T142" s="2">
        <f>0</f>
        <v>0</v>
      </c>
      <c r="U142" s="2">
        <f>0</f>
        <v>0</v>
      </c>
      <c r="V142" s="2">
        <f>0</f>
        <v>0</v>
      </c>
      <c r="W142" s="2">
        <f>0</f>
        <v>0</v>
      </c>
      <c r="X142" s="2">
        <f>0</f>
        <v>0</v>
      </c>
      <c r="Y142" s="2">
        <f>0</f>
        <v>0</v>
      </c>
      <c r="Z142" s="2"/>
      <c r="AA142" s="2">
        <v>55656218</v>
      </c>
      <c r="AB142" s="2">
        <f>ROUND((AK142),2)</f>
        <v>23.67</v>
      </c>
      <c r="AC142" s="2">
        <f>0</f>
        <v>0</v>
      </c>
      <c r="AD142" s="2">
        <f>0</f>
        <v>0</v>
      </c>
      <c r="AE142" s="2">
        <f>0</f>
        <v>0</v>
      </c>
      <c r="AF142" s="2">
        <f>0</f>
        <v>0</v>
      </c>
      <c r="AG142" s="2">
        <f>0</f>
        <v>0</v>
      </c>
      <c r="AH142" s="2">
        <f>0</f>
        <v>0</v>
      </c>
      <c r="AI142" s="2">
        <f>0</f>
        <v>0</v>
      </c>
      <c r="AJ142" s="2">
        <f>0</f>
        <v>0</v>
      </c>
      <c r="AK142" s="2">
        <v>23.67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3</v>
      </c>
      <c r="BE142" s="2" t="s">
        <v>3</v>
      </c>
      <c r="BF142" s="2" t="s">
        <v>3</v>
      </c>
      <c r="BG142" s="2" t="s">
        <v>3</v>
      </c>
      <c r="BH142" s="2">
        <v>0</v>
      </c>
      <c r="BI142" s="2">
        <v>1</v>
      </c>
      <c r="BJ142" s="2" t="s">
        <v>273</v>
      </c>
      <c r="BK142" s="2"/>
      <c r="BL142" s="2"/>
      <c r="BM142" s="2">
        <v>700005</v>
      </c>
      <c r="BN142" s="2">
        <v>0</v>
      </c>
      <c r="BO142" s="2" t="s">
        <v>3</v>
      </c>
      <c r="BP142" s="2">
        <v>0</v>
      </c>
      <c r="BQ142" s="2">
        <v>10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3</v>
      </c>
      <c r="BZ142" s="2">
        <v>0</v>
      </c>
      <c r="CA142" s="2">
        <v>0</v>
      </c>
      <c r="CB142" s="2" t="s">
        <v>3</v>
      </c>
      <c r="CC142" s="2"/>
      <c r="CD142" s="2"/>
      <c r="CE142" s="2">
        <v>0</v>
      </c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3</v>
      </c>
      <c r="CO142" s="2">
        <v>0</v>
      </c>
      <c r="CP142" s="2">
        <f>AB142*AZ142</f>
        <v>23.67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/>
      <c r="DB142" s="2"/>
      <c r="DC142" s="2" t="s">
        <v>3</v>
      </c>
      <c r="DD142" s="2" t="s">
        <v>3</v>
      </c>
      <c r="DE142" s="2" t="s">
        <v>3</v>
      </c>
      <c r="DF142" s="2" t="s">
        <v>3</v>
      </c>
      <c r="DG142" s="2" t="s">
        <v>3</v>
      </c>
      <c r="DH142" s="2" t="s">
        <v>3</v>
      </c>
      <c r="DI142" s="2" t="s">
        <v>3</v>
      </c>
      <c r="DJ142" s="2" t="s">
        <v>3</v>
      </c>
      <c r="DK142" s="2" t="s">
        <v>3</v>
      </c>
      <c r="DL142" s="2" t="s">
        <v>3</v>
      </c>
      <c r="DM142" s="2" t="s">
        <v>3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1013</v>
      </c>
      <c r="DV142" s="2" t="s">
        <v>266</v>
      </c>
      <c r="DW142" s="2" t="s">
        <v>266</v>
      </c>
      <c r="DX142" s="2">
        <v>1</v>
      </c>
      <c r="DY142" s="2"/>
      <c r="DZ142" s="2" t="s">
        <v>3</v>
      </c>
      <c r="EA142" s="2" t="s">
        <v>3</v>
      </c>
      <c r="EB142" s="2" t="s">
        <v>3</v>
      </c>
      <c r="EC142" s="2" t="s">
        <v>3</v>
      </c>
      <c r="ED142" s="2"/>
      <c r="EE142" s="2">
        <v>55471919</v>
      </c>
      <c r="EF142" s="2">
        <v>10</v>
      </c>
      <c r="EG142" s="2" t="s">
        <v>274</v>
      </c>
      <c r="EH142" s="2">
        <v>107</v>
      </c>
      <c r="EI142" s="2" t="s">
        <v>275</v>
      </c>
      <c r="EJ142" s="2">
        <v>1</v>
      </c>
      <c r="EK142" s="2">
        <v>700005</v>
      </c>
      <c r="EL142" s="2" t="s">
        <v>275</v>
      </c>
      <c r="EM142" s="2" t="s">
        <v>276</v>
      </c>
      <c r="EN142" s="2"/>
      <c r="EO142" s="2" t="s">
        <v>3</v>
      </c>
      <c r="EP142" s="2"/>
      <c r="EQ142" s="2">
        <v>0</v>
      </c>
      <c r="ER142" s="2">
        <v>0</v>
      </c>
      <c r="ES142" s="2">
        <v>0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>
        <v>0</v>
      </c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>ROUND(IF(AND(BH142=3,BI142=3),P142,0),2)</f>
        <v>0</v>
      </c>
      <c r="FS142" s="2">
        <v>0</v>
      </c>
      <c r="FT142" s="2"/>
      <c r="FU142" s="2"/>
      <c r="FV142" s="2"/>
      <c r="FW142" s="2"/>
      <c r="FX142" s="2">
        <v>0</v>
      </c>
      <c r="FY142" s="2">
        <v>0</v>
      </c>
      <c r="FZ142" s="2"/>
      <c r="GA142" s="2" t="s">
        <v>3</v>
      </c>
      <c r="GB142" s="2"/>
      <c r="GC142" s="2"/>
      <c r="GD142" s="2">
        <v>1</v>
      </c>
      <c r="GE142" s="2"/>
      <c r="GF142" s="2">
        <v>426931053</v>
      </c>
      <c r="GG142" s="2">
        <v>2</v>
      </c>
      <c r="GH142" s="2">
        <v>1</v>
      </c>
      <c r="GI142" s="2">
        <v>-2</v>
      </c>
      <c r="GJ142" s="2">
        <v>2</v>
      </c>
      <c r="GK142" s="2">
        <v>0</v>
      </c>
      <c r="GL142" s="2">
        <f>ROUND(IF(AND(BH142=3,BI142=3,FS142&lt;&gt;0),P142,0),2)</f>
        <v>0</v>
      </c>
      <c r="GM142" s="2">
        <f>ROUND(CP142*I142,2)</f>
        <v>47.34</v>
      </c>
      <c r="GN142" s="2">
        <f>IF(OR(BI142=0,BI142=1),ROUND(CP142*I142,2),0)</f>
        <v>47.34</v>
      </c>
      <c r="GO142" s="2">
        <f>IF(BI142=2,ROUND(CP142*I142,2),0)</f>
        <v>0</v>
      </c>
      <c r="GP142" s="2">
        <f>IF(BI142=4,ROUND(CP142*I142,2)+GX142,0)</f>
        <v>0</v>
      </c>
      <c r="GQ142" s="2"/>
      <c r="GR142" s="2">
        <v>0</v>
      </c>
      <c r="GS142" s="2">
        <v>3</v>
      </c>
      <c r="GT142" s="2">
        <v>0</v>
      </c>
      <c r="GU142" s="2" t="s">
        <v>3</v>
      </c>
      <c r="GV142" s="2">
        <f>0</f>
        <v>0</v>
      </c>
      <c r="GW142" s="2">
        <v>1</v>
      </c>
      <c r="GX142" s="2">
        <f>0</f>
        <v>0</v>
      </c>
      <c r="GY142" s="2"/>
      <c r="GZ142" s="2"/>
      <c r="HA142" s="2">
        <v>0</v>
      </c>
      <c r="HB142" s="2">
        <v>0</v>
      </c>
      <c r="HC142" s="2">
        <v>0</v>
      </c>
      <c r="HD142" s="2">
        <f>GM142</f>
        <v>47.34</v>
      </c>
      <c r="HE142" s="2" t="s">
        <v>3</v>
      </c>
      <c r="HF142" s="2" t="s">
        <v>3</v>
      </c>
      <c r="HG142" s="2"/>
      <c r="HH142" s="2"/>
      <c r="HI142" s="2"/>
      <c r="HJ142" s="2"/>
      <c r="HK142" s="2"/>
      <c r="HL142" s="2"/>
      <c r="HM142" s="2" t="s">
        <v>3</v>
      </c>
      <c r="HN142" s="2" t="s">
        <v>3</v>
      </c>
      <c r="HO142" s="2" t="s">
        <v>3</v>
      </c>
      <c r="HP142" s="2" t="s">
        <v>3</v>
      </c>
      <c r="HQ142" s="2" t="s">
        <v>3</v>
      </c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45" ht="12.75">
      <c r="A143">
        <v>17</v>
      </c>
      <c r="B143">
        <v>1</v>
      </c>
      <c r="E143" t="s">
        <v>270</v>
      </c>
      <c r="F143" t="s">
        <v>271</v>
      </c>
      <c r="G143" t="s">
        <v>272</v>
      </c>
      <c r="H143" t="s">
        <v>266</v>
      </c>
      <c r="I143">
        <v>2</v>
      </c>
      <c r="J143">
        <v>0</v>
      </c>
      <c r="K143">
        <v>2</v>
      </c>
      <c r="O143">
        <f>0</f>
        <v>0</v>
      </c>
      <c r="P143">
        <f>0</f>
        <v>0</v>
      </c>
      <c r="Q143">
        <f>0</f>
        <v>0</v>
      </c>
      <c r="R143">
        <f>0</f>
        <v>0</v>
      </c>
      <c r="S143">
        <f>0</f>
        <v>0</v>
      </c>
      <c r="T143">
        <f>0</f>
        <v>0</v>
      </c>
      <c r="U143">
        <f>0</f>
        <v>0</v>
      </c>
      <c r="V143">
        <f>0</f>
        <v>0</v>
      </c>
      <c r="W143">
        <f>0</f>
        <v>0</v>
      </c>
      <c r="X143">
        <f>0</f>
        <v>0</v>
      </c>
      <c r="Y143">
        <f>0</f>
        <v>0</v>
      </c>
      <c r="AA143">
        <v>55657272</v>
      </c>
      <c r="AB143">
        <f>ROUND((AK143),2)</f>
        <v>23.67</v>
      </c>
      <c r="AC143">
        <f>0</f>
        <v>0</v>
      </c>
      <c r="AD143">
        <f>0</f>
        <v>0</v>
      </c>
      <c r="AE143">
        <f>0</f>
        <v>0</v>
      </c>
      <c r="AF143">
        <f>0</f>
        <v>0</v>
      </c>
      <c r="AG143">
        <f>0</f>
        <v>0</v>
      </c>
      <c r="AH143">
        <f>0</f>
        <v>0</v>
      </c>
      <c r="AI143">
        <f>0</f>
        <v>0</v>
      </c>
      <c r="AJ143">
        <f>0</f>
        <v>0</v>
      </c>
      <c r="AK143">
        <v>23.67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Z143">
        <v>13.24</v>
      </c>
      <c r="BA143">
        <v>1</v>
      </c>
      <c r="BB143">
        <v>1</v>
      </c>
      <c r="BC143">
        <v>1</v>
      </c>
      <c r="BH143">
        <v>0</v>
      </c>
      <c r="BI143">
        <v>1</v>
      </c>
      <c r="BJ143" t="s">
        <v>273</v>
      </c>
      <c r="BM143">
        <v>700005</v>
      </c>
      <c r="BN143">
        <v>0</v>
      </c>
      <c r="BO143" t="s">
        <v>37</v>
      </c>
      <c r="BP143">
        <v>1</v>
      </c>
      <c r="BQ143">
        <v>10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Z143">
        <v>0</v>
      </c>
      <c r="CA143">
        <v>0</v>
      </c>
      <c r="CE143">
        <v>0</v>
      </c>
      <c r="CF143">
        <v>0</v>
      </c>
      <c r="CG143">
        <v>0</v>
      </c>
      <c r="CM143">
        <v>0</v>
      </c>
      <c r="CO143">
        <v>0</v>
      </c>
      <c r="CP143">
        <f>AB143*AZ143</f>
        <v>313.3908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N143">
        <v>0</v>
      </c>
      <c r="DO143">
        <v>0</v>
      </c>
      <c r="DP143">
        <v>1</v>
      </c>
      <c r="DQ143">
        <v>1</v>
      </c>
      <c r="DU143">
        <v>1013</v>
      </c>
      <c r="DV143" t="s">
        <v>266</v>
      </c>
      <c r="DW143" t="s">
        <v>266</v>
      </c>
      <c r="DX143">
        <v>1</v>
      </c>
      <c r="EE143">
        <v>55471919</v>
      </c>
      <c r="EF143">
        <v>10</v>
      </c>
      <c r="EG143" t="s">
        <v>274</v>
      </c>
      <c r="EH143">
        <v>107</v>
      </c>
      <c r="EI143" t="s">
        <v>275</v>
      </c>
      <c r="EJ143">
        <v>1</v>
      </c>
      <c r="EK143">
        <v>700005</v>
      </c>
      <c r="EL143" t="s">
        <v>275</v>
      </c>
      <c r="EM143" t="s">
        <v>276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FQ143">
        <v>0</v>
      </c>
      <c r="FR143">
        <f>ROUND(IF(AND(BH143=3,BI143=3),P143,0),2)</f>
        <v>0</v>
      </c>
      <c r="FS143">
        <v>0</v>
      </c>
      <c r="FX143">
        <v>0</v>
      </c>
      <c r="FY143">
        <v>0</v>
      </c>
      <c r="GD143">
        <v>1</v>
      </c>
      <c r="GF143">
        <v>426931053</v>
      </c>
      <c r="GG143">
        <v>2</v>
      </c>
      <c r="GH143">
        <v>1</v>
      </c>
      <c r="GI143">
        <v>4</v>
      </c>
      <c r="GJ143">
        <v>2</v>
      </c>
      <c r="GK143">
        <v>0</v>
      </c>
      <c r="GL143">
        <f>ROUND(IF(AND(BH143=3,BI143=3,FS143&lt;&gt;0),P143,0),2)</f>
        <v>0</v>
      </c>
      <c r="GM143">
        <f>ROUND(CP143*I143,2)</f>
        <v>626.78</v>
      </c>
      <c r="GN143">
        <f>IF(OR(BI143=0,BI143=1),ROUND(CP143*I143,2),0)</f>
        <v>626.78</v>
      </c>
      <c r="GO143">
        <f>IF(BI143=2,ROUND(CP143*I143,2),0)</f>
        <v>0</v>
      </c>
      <c r="GP143">
        <f>IF(BI143=4,ROUND(CP143*I143,2)+GX143,0)</f>
        <v>0</v>
      </c>
      <c r="GR143">
        <v>0</v>
      </c>
      <c r="GS143">
        <v>3</v>
      </c>
      <c r="GT143">
        <v>0</v>
      </c>
      <c r="GV143">
        <f>0</f>
        <v>0</v>
      </c>
      <c r="GW143">
        <v>1</v>
      </c>
      <c r="GX143">
        <f>0</f>
        <v>0</v>
      </c>
      <c r="HA143">
        <v>0</v>
      </c>
      <c r="HB143">
        <v>0</v>
      </c>
      <c r="HC143">
        <v>0</v>
      </c>
      <c r="HD143">
        <f>GM143</f>
        <v>626.78</v>
      </c>
      <c r="IK143">
        <v>0</v>
      </c>
    </row>
    <row r="145" spans="1:206" ht="12.75">
      <c r="A145" s="3">
        <v>51</v>
      </c>
      <c r="B145" s="3">
        <f>B136</f>
        <v>1</v>
      </c>
      <c r="C145" s="3">
        <f>A136</f>
        <v>4</v>
      </c>
      <c r="D145" s="3">
        <f>ROW(A136)</f>
        <v>136</v>
      </c>
      <c r="E145" s="3"/>
      <c r="F145" s="3" t="str">
        <f>IF(F136&lt;&gt;"",F136,"")</f>
        <v>Новый раздел</v>
      </c>
      <c r="G145" s="3" t="str">
        <f>IF(G136&lt;&gt;"",G136,"")</f>
        <v>Разные работы</v>
      </c>
      <c r="H145" s="3">
        <v>0</v>
      </c>
      <c r="I145" s="3"/>
      <c r="J145" s="3"/>
      <c r="K145" s="3"/>
      <c r="L145" s="3"/>
      <c r="M145" s="3"/>
      <c r="N145" s="3"/>
      <c r="O145" s="3">
        <f aca="true" t="shared" si="155" ref="O145:T145">ROUND(AB145,2)</f>
        <v>0</v>
      </c>
      <c r="P145" s="3">
        <f t="shared" si="155"/>
        <v>0</v>
      </c>
      <c r="Q145" s="3">
        <f t="shared" si="155"/>
        <v>0</v>
      </c>
      <c r="R145" s="3">
        <f t="shared" si="155"/>
        <v>0</v>
      </c>
      <c r="S145" s="3">
        <f t="shared" si="155"/>
        <v>0</v>
      </c>
      <c r="T145" s="3">
        <f t="shared" si="155"/>
        <v>0</v>
      </c>
      <c r="U145" s="3">
        <f>AH145</f>
        <v>0</v>
      </c>
      <c r="V145" s="3">
        <f>AI145</f>
        <v>0</v>
      </c>
      <c r="W145" s="3">
        <f>ROUND(AJ145,2)</f>
        <v>0</v>
      </c>
      <c r="X145" s="3">
        <f>ROUND(AK145,2)</f>
        <v>0</v>
      </c>
      <c r="Y145" s="3">
        <f>ROUND(AL145,2)</f>
        <v>0</v>
      </c>
      <c r="Z145" s="3"/>
      <c r="AA145" s="3"/>
      <c r="AB145" s="3">
        <f>ROUND(SUMIF(AA140:AA143,"=55656218",O140:O143),2)</f>
        <v>0</v>
      </c>
      <c r="AC145" s="3">
        <f>ROUND(SUMIF(AA140:AA143,"=55656218",P140:P143),2)</f>
        <v>0</v>
      </c>
      <c r="AD145" s="3">
        <f>ROUND(SUMIF(AA140:AA143,"=55656218",Q140:Q143),2)</f>
        <v>0</v>
      </c>
      <c r="AE145" s="3">
        <f>ROUND(SUMIF(AA140:AA143,"=55656218",R140:R143),2)</f>
        <v>0</v>
      </c>
      <c r="AF145" s="3">
        <f>ROUND(SUMIF(AA140:AA143,"=55656218",S140:S143),2)</f>
        <v>0</v>
      </c>
      <c r="AG145" s="3">
        <f>ROUND(SUMIF(AA140:AA143,"=55656218",T140:T143),2)</f>
        <v>0</v>
      </c>
      <c r="AH145" s="3">
        <f>SUMIF(AA140:AA143,"=55656218",U140:U143)</f>
        <v>0</v>
      </c>
      <c r="AI145" s="3">
        <f>SUMIF(AA140:AA143,"=55656218",V140:V143)</f>
        <v>0</v>
      </c>
      <c r="AJ145" s="3">
        <f>ROUND(SUMIF(AA140:AA143,"=55656218",W140:W143),2)</f>
        <v>0</v>
      </c>
      <c r="AK145" s="3">
        <f>ROUND(SUMIF(AA140:AA143,"=55656218",X140:X143),2)</f>
        <v>0</v>
      </c>
      <c r="AL145" s="3">
        <f>ROUND(SUMIF(AA140:AA143,"=55656218",Y140:Y143),2)</f>
        <v>0</v>
      </c>
      <c r="AM145" s="3"/>
      <c r="AN145" s="3"/>
      <c r="AO145" s="3">
        <f aca="true" t="shared" si="156" ref="AO145:BD145">ROUND(BX145,2)</f>
        <v>0</v>
      </c>
      <c r="AP145" s="3">
        <f t="shared" si="156"/>
        <v>0</v>
      </c>
      <c r="AQ145" s="3">
        <f t="shared" si="156"/>
        <v>0</v>
      </c>
      <c r="AR145" s="3">
        <f t="shared" si="156"/>
        <v>133.3</v>
      </c>
      <c r="AS145" s="3">
        <f t="shared" si="156"/>
        <v>133.3</v>
      </c>
      <c r="AT145" s="3">
        <f t="shared" si="156"/>
        <v>0</v>
      </c>
      <c r="AU145" s="3">
        <f t="shared" si="156"/>
        <v>0</v>
      </c>
      <c r="AV145" s="3">
        <f t="shared" si="156"/>
        <v>0</v>
      </c>
      <c r="AW145" s="3">
        <f t="shared" si="156"/>
        <v>0</v>
      </c>
      <c r="AX145" s="3">
        <f t="shared" si="156"/>
        <v>0</v>
      </c>
      <c r="AY145" s="3">
        <f t="shared" si="156"/>
        <v>0</v>
      </c>
      <c r="AZ145" s="3">
        <f t="shared" si="156"/>
        <v>0</v>
      </c>
      <c r="BA145" s="3">
        <f t="shared" si="156"/>
        <v>0</v>
      </c>
      <c r="BB145" s="3">
        <f t="shared" si="156"/>
        <v>0</v>
      </c>
      <c r="BC145" s="3">
        <f t="shared" si="156"/>
        <v>0</v>
      </c>
      <c r="BD145" s="3">
        <f t="shared" si="156"/>
        <v>133.3</v>
      </c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>
        <f>ROUND(SUMIF(AA140:AA143,"=55656218",FQ140:FQ143),2)</f>
        <v>0</v>
      </c>
      <c r="BY145" s="3">
        <f>ROUND(SUMIF(AA140:AA143,"=55656218",FR140:FR143),2)</f>
        <v>0</v>
      </c>
      <c r="BZ145" s="3">
        <f>ROUND(SUMIF(AA140:AA143,"=55656218",GL140:GL143),2)</f>
        <v>0</v>
      </c>
      <c r="CA145" s="3">
        <f>ROUND(SUMIF(AA140:AA143,"=55656218",GM140:GM143),2)</f>
        <v>133.3</v>
      </c>
      <c r="CB145" s="3">
        <f>ROUND(SUMIF(AA140:AA143,"=55656218",GN140:GN143),2)</f>
        <v>133.3</v>
      </c>
      <c r="CC145" s="3">
        <f>ROUND(SUMIF(AA140:AA143,"=55656218",GO140:GO143),2)</f>
        <v>0</v>
      </c>
      <c r="CD145" s="3">
        <f>ROUND(SUMIF(AA140:AA143,"=55656218",GP140:GP143),2)</f>
        <v>0</v>
      </c>
      <c r="CE145" s="3">
        <f>AC145-BX145</f>
        <v>0</v>
      </c>
      <c r="CF145" s="3">
        <f>AC145-BY145</f>
        <v>0</v>
      </c>
      <c r="CG145" s="3">
        <f>BX145-BZ145</f>
        <v>0</v>
      </c>
      <c r="CH145" s="3">
        <f>AC145-BX145-BY145+BZ145</f>
        <v>0</v>
      </c>
      <c r="CI145" s="3">
        <f>BY145-BZ145</f>
        <v>0</v>
      </c>
      <c r="CJ145" s="3">
        <f>ROUND(SUMIF(AA140:AA143,"=55656218",GX140:GX143),2)</f>
        <v>0</v>
      </c>
      <c r="CK145" s="3">
        <f>ROUND(SUMIF(AA140:AA143,"=55656218",GY140:GY143),2)</f>
        <v>0</v>
      </c>
      <c r="CL145" s="3">
        <f>ROUND(SUMIF(AA140:AA143,"=55656218",GZ140:GZ143),2)</f>
        <v>0</v>
      </c>
      <c r="CM145" s="3">
        <f>ROUND(SUMIF(AA140:AA143,"=55656218",HD140:HD143),2)</f>
        <v>133.3</v>
      </c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4">
        <f aca="true" t="shared" si="157" ref="DG145:DL145">ROUND(DT145,2)</f>
        <v>0</v>
      </c>
      <c r="DH145" s="4">
        <f t="shared" si="157"/>
        <v>0</v>
      </c>
      <c r="DI145" s="4">
        <f t="shared" si="157"/>
        <v>0</v>
      </c>
      <c r="DJ145" s="4">
        <f t="shared" si="157"/>
        <v>0</v>
      </c>
      <c r="DK145" s="4">
        <f t="shared" si="157"/>
        <v>0</v>
      </c>
      <c r="DL145" s="4">
        <f t="shared" si="157"/>
        <v>0</v>
      </c>
      <c r="DM145" s="4">
        <f>DZ145</f>
        <v>0</v>
      </c>
      <c r="DN145" s="4">
        <f>EA145</f>
        <v>0</v>
      </c>
      <c r="DO145" s="4">
        <f>ROUND(EB145,2)</f>
        <v>0</v>
      </c>
      <c r="DP145" s="4">
        <f>ROUND(EC145,2)</f>
        <v>0</v>
      </c>
      <c r="DQ145" s="4">
        <f>ROUND(ED145,2)</f>
        <v>0</v>
      </c>
      <c r="DR145" s="4"/>
      <c r="DS145" s="4"/>
      <c r="DT145" s="4">
        <f>ROUND(SUMIF(AA140:AA143,"=55657272",O140:O143),2)</f>
        <v>0</v>
      </c>
      <c r="DU145" s="4">
        <f>ROUND(SUMIF(AA140:AA143,"=55657272",P140:P143),2)</f>
        <v>0</v>
      </c>
      <c r="DV145" s="4">
        <f>ROUND(SUMIF(AA140:AA143,"=55657272",Q140:Q143),2)</f>
        <v>0</v>
      </c>
      <c r="DW145" s="4">
        <f>ROUND(SUMIF(AA140:AA143,"=55657272",R140:R143),2)</f>
        <v>0</v>
      </c>
      <c r="DX145" s="4">
        <f>ROUND(SUMIF(AA140:AA143,"=55657272",S140:S143),2)</f>
        <v>0</v>
      </c>
      <c r="DY145" s="4">
        <f>ROUND(SUMIF(AA140:AA143,"=55657272",T140:T143),2)</f>
        <v>0</v>
      </c>
      <c r="DZ145" s="4">
        <f>SUMIF(AA140:AA143,"=55657272",U140:U143)</f>
        <v>0</v>
      </c>
      <c r="EA145" s="4">
        <f>SUMIF(AA140:AA143,"=55657272",V140:V143)</f>
        <v>0</v>
      </c>
      <c r="EB145" s="4">
        <f>ROUND(SUMIF(AA140:AA143,"=55657272",W140:W143),2)</f>
        <v>0</v>
      </c>
      <c r="EC145" s="4">
        <f>ROUND(SUMIF(AA140:AA143,"=55657272",X140:X143),2)</f>
        <v>0</v>
      </c>
      <c r="ED145" s="4">
        <f>ROUND(SUMIF(AA140:AA143,"=55657272",Y140:Y143),2)</f>
        <v>0</v>
      </c>
      <c r="EE145" s="4"/>
      <c r="EF145" s="4"/>
      <c r="EG145" s="4">
        <f aca="true" t="shared" si="158" ref="EG145:EV145">ROUND(FP145,2)</f>
        <v>0</v>
      </c>
      <c r="EH145" s="4">
        <f t="shared" si="158"/>
        <v>0</v>
      </c>
      <c r="EI145" s="4">
        <f t="shared" si="158"/>
        <v>0</v>
      </c>
      <c r="EJ145" s="4">
        <f t="shared" si="158"/>
        <v>1764.89</v>
      </c>
      <c r="EK145" s="4">
        <f t="shared" si="158"/>
        <v>1764.89</v>
      </c>
      <c r="EL145" s="4">
        <f t="shared" si="158"/>
        <v>0</v>
      </c>
      <c r="EM145" s="4">
        <f t="shared" si="158"/>
        <v>0</v>
      </c>
      <c r="EN145" s="4">
        <f t="shared" si="158"/>
        <v>0</v>
      </c>
      <c r="EO145" s="4">
        <f t="shared" si="158"/>
        <v>0</v>
      </c>
      <c r="EP145" s="4">
        <f t="shared" si="158"/>
        <v>0</v>
      </c>
      <c r="EQ145" s="4">
        <f t="shared" si="158"/>
        <v>0</v>
      </c>
      <c r="ER145" s="4">
        <f t="shared" si="158"/>
        <v>0</v>
      </c>
      <c r="ES145" s="4">
        <f t="shared" si="158"/>
        <v>0</v>
      </c>
      <c r="ET145" s="4">
        <f t="shared" si="158"/>
        <v>0</v>
      </c>
      <c r="EU145" s="4">
        <f t="shared" si="158"/>
        <v>0</v>
      </c>
      <c r="EV145" s="4">
        <f t="shared" si="158"/>
        <v>1764.89</v>
      </c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>
        <f>ROUND(SUMIF(AA140:AA143,"=55657272",FQ140:FQ143),2)</f>
        <v>0</v>
      </c>
      <c r="FQ145" s="4">
        <f>ROUND(SUMIF(AA140:AA143,"=55657272",FR140:FR143),2)</f>
        <v>0</v>
      </c>
      <c r="FR145" s="4">
        <f>ROUND(SUMIF(AA140:AA143,"=55657272",GL140:GL143),2)</f>
        <v>0</v>
      </c>
      <c r="FS145" s="4">
        <f>ROUND(SUMIF(AA140:AA143,"=55657272",GM140:GM143),2)</f>
        <v>1764.89</v>
      </c>
      <c r="FT145" s="4">
        <f>ROUND(SUMIF(AA140:AA143,"=55657272",GN140:GN143),2)</f>
        <v>1764.89</v>
      </c>
      <c r="FU145" s="4">
        <f>ROUND(SUMIF(AA140:AA143,"=55657272",GO140:GO143),2)</f>
        <v>0</v>
      </c>
      <c r="FV145" s="4">
        <f>ROUND(SUMIF(AA140:AA143,"=55657272",GP140:GP143),2)</f>
        <v>0</v>
      </c>
      <c r="FW145" s="4">
        <f>DU145-FP145</f>
        <v>0</v>
      </c>
      <c r="FX145" s="4">
        <f>DU145-FQ145</f>
        <v>0</v>
      </c>
      <c r="FY145" s="4">
        <f>FP145-FR145</f>
        <v>0</v>
      </c>
      <c r="FZ145" s="4">
        <f>DU145-FP145-FQ145+FR145</f>
        <v>0</v>
      </c>
      <c r="GA145" s="4">
        <f>FQ145-FR145</f>
        <v>0</v>
      </c>
      <c r="GB145" s="4">
        <f>ROUND(SUMIF(AA140:AA143,"=55657272",GX140:GX143),2)</f>
        <v>0</v>
      </c>
      <c r="GC145" s="4">
        <f>ROUND(SUMIF(AA140:AA143,"=55657272",GY140:GY143),2)</f>
        <v>0</v>
      </c>
      <c r="GD145" s="4">
        <f>ROUND(SUMIF(AA140:AA143,"=55657272",GZ140:GZ143),2)</f>
        <v>0</v>
      </c>
      <c r="GE145" s="4">
        <f>ROUND(SUMIF(AA140:AA143,"=55657272",HD140:HD143),2)</f>
        <v>1764.89</v>
      </c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>
        <v>0</v>
      </c>
    </row>
    <row r="147" spans="1:28" ht="12.75">
      <c r="A147" s="5">
        <v>50</v>
      </c>
      <c r="B147" s="5">
        <v>0</v>
      </c>
      <c r="C147" s="5">
        <v>0</v>
      </c>
      <c r="D147" s="5">
        <v>1</v>
      </c>
      <c r="E147" s="5">
        <v>201</v>
      </c>
      <c r="F147" s="5">
        <f>ROUND(Source!O145,O147)</f>
        <v>0</v>
      </c>
      <c r="G147" s="5" t="s">
        <v>206</v>
      </c>
      <c r="H147" s="5" t="s">
        <v>207</v>
      </c>
      <c r="I147" s="5"/>
      <c r="J147" s="5"/>
      <c r="K147" s="5">
        <v>201</v>
      </c>
      <c r="L147" s="5">
        <v>1</v>
      </c>
      <c r="M147" s="5">
        <v>3</v>
      </c>
      <c r="N147" s="5" t="s">
        <v>3</v>
      </c>
      <c r="O147" s="5">
        <v>2</v>
      </c>
      <c r="P147" s="5">
        <f>ROUND(Source!DG145,O147)</f>
        <v>0</v>
      </c>
      <c r="Q147" s="5"/>
      <c r="R147" s="5"/>
      <c r="S147" s="5"/>
      <c r="T147" s="5"/>
      <c r="U147" s="5"/>
      <c r="V147" s="5"/>
      <c r="W147" s="5">
        <v>133.3</v>
      </c>
      <c r="X147" s="5">
        <v>1</v>
      </c>
      <c r="Y147" s="5">
        <v>133.3</v>
      </c>
      <c r="Z147" s="5">
        <v>1764.89</v>
      </c>
      <c r="AA147" s="5">
        <v>1</v>
      </c>
      <c r="AB147" s="5">
        <v>1764.89</v>
      </c>
    </row>
    <row r="148" spans="1:28" ht="12.75">
      <c r="A148" s="5">
        <v>50</v>
      </c>
      <c r="B148" s="5">
        <v>0</v>
      </c>
      <c r="C148" s="5">
        <v>0</v>
      </c>
      <c r="D148" s="5">
        <v>1</v>
      </c>
      <c r="E148" s="5">
        <v>202</v>
      </c>
      <c r="F148" s="5">
        <f>ROUND(Source!P145,O148)</f>
        <v>0</v>
      </c>
      <c r="G148" s="5" t="s">
        <v>208</v>
      </c>
      <c r="H148" s="5" t="s">
        <v>209</v>
      </c>
      <c r="I148" s="5"/>
      <c r="J148" s="5"/>
      <c r="K148" s="5">
        <v>202</v>
      </c>
      <c r="L148" s="5">
        <v>2</v>
      </c>
      <c r="M148" s="5">
        <v>3</v>
      </c>
      <c r="N148" s="5" t="s">
        <v>3</v>
      </c>
      <c r="O148" s="5">
        <v>2</v>
      </c>
      <c r="P148" s="5">
        <f>ROUND(Source!DH145,O148)</f>
        <v>0</v>
      </c>
      <c r="Q148" s="5"/>
      <c r="R148" s="5"/>
      <c r="S148" s="5"/>
      <c r="T148" s="5"/>
      <c r="U148" s="5"/>
      <c r="V148" s="5"/>
      <c r="W148" s="5">
        <v>0</v>
      </c>
      <c r="X148" s="5">
        <v>1</v>
      </c>
      <c r="Y148" s="5">
        <v>0</v>
      </c>
      <c r="Z148" s="5">
        <v>0</v>
      </c>
      <c r="AA148" s="5">
        <v>1</v>
      </c>
      <c r="AB148" s="5">
        <v>0</v>
      </c>
    </row>
    <row r="149" spans="1:28" ht="12.75">
      <c r="A149" s="5">
        <v>50</v>
      </c>
      <c r="B149" s="5">
        <v>0</v>
      </c>
      <c r="C149" s="5">
        <v>0</v>
      </c>
      <c r="D149" s="5">
        <v>1</v>
      </c>
      <c r="E149" s="5">
        <v>222</v>
      </c>
      <c r="F149" s="5">
        <f>ROUND(Source!AO145,O149)</f>
        <v>0</v>
      </c>
      <c r="G149" s="5" t="s">
        <v>210</v>
      </c>
      <c r="H149" s="5" t="s">
        <v>211</v>
      </c>
      <c r="I149" s="5"/>
      <c r="J149" s="5"/>
      <c r="K149" s="5">
        <v>222</v>
      </c>
      <c r="L149" s="5">
        <v>3</v>
      </c>
      <c r="M149" s="5">
        <v>3</v>
      </c>
      <c r="N149" s="5" t="s">
        <v>3</v>
      </c>
      <c r="O149" s="5">
        <v>2</v>
      </c>
      <c r="P149" s="5">
        <f>ROUND(Source!EG145,O149)</f>
        <v>0</v>
      </c>
      <c r="Q149" s="5"/>
      <c r="R149" s="5"/>
      <c r="S149" s="5"/>
      <c r="T149" s="5"/>
      <c r="U149" s="5"/>
      <c r="V149" s="5"/>
      <c r="W149" s="5">
        <v>0</v>
      </c>
      <c r="X149" s="5">
        <v>1</v>
      </c>
      <c r="Y149" s="5">
        <v>0</v>
      </c>
      <c r="Z149" s="5">
        <v>0</v>
      </c>
      <c r="AA149" s="5">
        <v>1</v>
      </c>
      <c r="AB149" s="5">
        <v>0</v>
      </c>
    </row>
    <row r="150" spans="1:28" ht="12.75">
      <c r="A150" s="5">
        <v>50</v>
      </c>
      <c r="B150" s="5">
        <v>0</v>
      </c>
      <c r="C150" s="5">
        <v>0</v>
      </c>
      <c r="D150" s="5">
        <v>1</v>
      </c>
      <c r="E150" s="5">
        <v>225</v>
      </c>
      <c r="F150" s="5">
        <f>ROUND(Source!AV145,O150)</f>
        <v>0</v>
      </c>
      <c r="G150" s="5" t="s">
        <v>212</v>
      </c>
      <c r="H150" s="5" t="s">
        <v>213</v>
      </c>
      <c r="I150" s="5"/>
      <c r="J150" s="5"/>
      <c r="K150" s="5">
        <v>225</v>
      </c>
      <c r="L150" s="5">
        <v>4</v>
      </c>
      <c r="M150" s="5">
        <v>3</v>
      </c>
      <c r="N150" s="5" t="s">
        <v>3</v>
      </c>
      <c r="O150" s="5">
        <v>2</v>
      </c>
      <c r="P150" s="5">
        <f>ROUND(Source!EN145,O150)</f>
        <v>0</v>
      </c>
      <c r="Q150" s="5"/>
      <c r="R150" s="5"/>
      <c r="S150" s="5"/>
      <c r="T150" s="5"/>
      <c r="U150" s="5"/>
      <c r="V150" s="5"/>
      <c r="W150" s="5">
        <v>0</v>
      </c>
      <c r="X150" s="5">
        <v>1</v>
      </c>
      <c r="Y150" s="5">
        <v>0</v>
      </c>
      <c r="Z150" s="5">
        <v>0</v>
      </c>
      <c r="AA150" s="5">
        <v>1</v>
      </c>
      <c r="AB150" s="5">
        <v>0</v>
      </c>
    </row>
    <row r="151" spans="1:28" ht="12.75">
      <c r="A151" s="5">
        <v>50</v>
      </c>
      <c r="B151" s="5">
        <v>1</v>
      </c>
      <c r="C151" s="5">
        <v>0</v>
      </c>
      <c r="D151" s="5">
        <v>1</v>
      </c>
      <c r="E151" s="5">
        <v>226</v>
      </c>
      <c r="F151" s="5">
        <f>ROUND(Source!AW145,O151)</f>
        <v>0</v>
      </c>
      <c r="G151" s="5" t="s">
        <v>214</v>
      </c>
      <c r="H151" s="5" t="s">
        <v>215</v>
      </c>
      <c r="I151" s="5"/>
      <c r="J151" s="5"/>
      <c r="K151" s="5">
        <v>226</v>
      </c>
      <c r="L151" s="5">
        <v>5</v>
      </c>
      <c r="M151" s="5">
        <v>0</v>
      </c>
      <c r="N151" s="5" t="s">
        <v>3</v>
      </c>
      <c r="O151" s="5">
        <v>2</v>
      </c>
      <c r="P151" s="5">
        <f>ROUND(Source!EO145,O151)</f>
        <v>0</v>
      </c>
      <c r="Q151" s="5"/>
      <c r="R151" s="5"/>
      <c r="S151" s="5"/>
      <c r="T151" s="5"/>
      <c r="U151" s="5"/>
      <c r="V151" s="5"/>
      <c r="W151" s="5">
        <v>0</v>
      </c>
      <c r="X151" s="5">
        <v>1</v>
      </c>
      <c r="Y151" s="5">
        <v>0</v>
      </c>
      <c r="Z151" s="5">
        <v>0</v>
      </c>
      <c r="AA151" s="5">
        <v>1</v>
      </c>
      <c r="AB151" s="5">
        <v>0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227</v>
      </c>
      <c r="F152" s="5">
        <f>ROUND(Source!AX145,O152)</f>
        <v>0</v>
      </c>
      <c r="G152" s="5" t="s">
        <v>216</v>
      </c>
      <c r="H152" s="5" t="s">
        <v>217</v>
      </c>
      <c r="I152" s="5"/>
      <c r="J152" s="5"/>
      <c r="K152" s="5">
        <v>227</v>
      </c>
      <c r="L152" s="5">
        <v>6</v>
      </c>
      <c r="M152" s="5">
        <v>3</v>
      </c>
      <c r="N152" s="5" t="s">
        <v>3</v>
      </c>
      <c r="O152" s="5">
        <v>2</v>
      </c>
      <c r="P152" s="5">
        <f>ROUND(Source!EP145,O152)</f>
        <v>0</v>
      </c>
      <c r="Q152" s="5"/>
      <c r="R152" s="5"/>
      <c r="S152" s="5"/>
      <c r="T152" s="5"/>
      <c r="U152" s="5"/>
      <c r="V152" s="5"/>
      <c r="W152" s="5">
        <v>0</v>
      </c>
      <c r="X152" s="5">
        <v>1</v>
      </c>
      <c r="Y152" s="5">
        <v>0</v>
      </c>
      <c r="Z152" s="5">
        <v>0</v>
      </c>
      <c r="AA152" s="5">
        <v>1</v>
      </c>
      <c r="AB152" s="5">
        <v>0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228</v>
      </c>
      <c r="F153" s="5">
        <f>ROUND(Source!AY145,O153)</f>
        <v>0</v>
      </c>
      <c r="G153" s="5" t="s">
        <v>218</v>
      </c>
      <c r="H153" s="5" t="s">
        <v>219</v>
      </c>
      <c r="I153" s="5"/>
      <c r="J153" s="5"/>
      <c r="K153" s="5">
        <v>228</v>
      </c>
      <c r="L153" s="5">
        <v>7</v>
      </c>
      <c r="M153" s="5">
        <v>3</v>
      </c>
      <c r="N153" s="5" t="s">
        <v>3</v>
      </c>
      <c r="O153" s="5">
        <v>2</v>
      </c>
      <c r="P153" s="5">
        <f>ROUND(Source!EQ145,O153)</f>
        <v>0</v>
      </c>
      <c r="Q153" s="5"/>
      <c r="R153" s="5"/>
      <c r="S153" s="5"/>
      <c r="T153" s="5"/>
      <c r="U153" s="5"/>
      <c r="V153" s="5"/>
      <c r="W153" s="5">
        <v>0</v>
      </c>
      <c r="X153" s="5">
        <v>1</v>
      </c>
      <c r="Y153" s="5">
        <v>0</v>
      </c>
      <c r="Z153" s="5">
        <v>0</v>
      </c>
      <c r="AA153" s="5">
        <v>1</v>
      </c>
      <c r="AB153" s="5">
        <v>0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216</v>
      </c>
      <c r="F154" s="5">
        <f>ROUND(Source!AP145,O154)</f>
        <v>0</v>
      </c>
      <c r="G154" s="5" t="s">
        <v>220</v>
      </c>
      <c r="H154" s="5" t="s">
        <v>221</v>
      </c>
      <c r="I154" s="5"/>
      <c r="J154" s="5"/>
      <c r="K154" s="5">
        <v>216</v>
      </c>
      <c r="L154" s="5">
        <v>8</v>
      </c>
      <c r="M154" s="5">
        <v>3</v>
      </c>
      <c r="N154" s="5" t="s">
        <v>3</v>
      </c>
      <c r="O154" s="5">
        <v>2</v>
      </c>
      <c r="P154" s="5">
        <f>ROUND(Source!EH145,O154)</f>
        <v>0</v>
      </c>
      <c r="Q154" s="5"/>
      <c r="R154" s="5"/>
      <c r="S154" s="5"/>
      <c r="T154" s="5"/>
      <c r="U154" s="5"/>
      <c r="V154" s="5"/>
      <c r="W154" s="5">
        <v>0</v>
      </c>
      <c r="X154" s="5">
        <v>1</v>
      </c>
      <c r="Y154" s="5">
        <v>0</v>
      </c>
      <c r="Z154" s="5">
        <v>0</v>
      </c>
      <c r="AA154" s="5">
        <v>1</v>
      </c>
      <c r="AB154" s="5">
        <v>0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223</v>
      </c>
      <c r="F155" s="5">
        <f>ROUND(Source!AQ145,O155)</f>
        <v>0</v>
      </c>
      <c r="G155" s="5" t="s">
        <v>222</v>
      </c>
      <c r="H155" s="5" t="s">
        <v>223</v>
      </c>
      <c r="I155" s="5"/>
      <c r="J155" s="5"/>
      <c r="K155" s="5">
        <v>223</v>
      </c>
      <c r="L155" s="5">
        <v>9</v>
      </c>
      <c r="M155" s="5">
        <v>3</v>
      </c>
      <c r="N155" s="5" t="s">
        <v>3</v>
      </c>
      <c r="O155" s="5">
        <v>2</v>
      </c>
      <c r="P155" s="5">
        <f>ROUND(Source!EI145,O155)</f>
        <v>0</v>
      </c>
      <c r="Q155" s="5"/>
      <c r="R155" s="5"/>
      <c r="S155" s="5"/>
      <c r="T155" s="5"/>
      <c r="U155" s="5"/>
      <c r="V155" s="5"/>
      <c r="W155" s="5">
        <v>0</v>
      </c>
      <c r="X155" s="5">
        <v>1</v>
      </c>
      <c r="Y155" s="5">
        <v>0</v>
      </c>
      <c r="Z155" s="5">
        <v>0</v>
      </c>
      <c r="AA155" s="5">
        <v>1</v>
      </c>
      <c r="AB155" s="5">
        <v>0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229</v>
      </c>
      <c r="F156" s="5">
        <f>ROUND(Source!AZ145,O156)</f>
        <v>0</v>
      </c>
      <c r="G156" s="5" t="s">
        <v>224</v>
      </c>
      <c r="H156" s="5" t="s">
        <v>225</v>
      </c>
      <c r="I156" s="5"/>
      <c r="J156" s="5"/>
      <c r="K156" s="5">
        <v>229</v>
      </c>
      <c r="L156" s="5">
        <v>10</v>
      </c>
      <c r="M156" s="5">
        <v>3</v>
      </c>
      <c r="N156" s="5" t="s">
        <v>3</v>
      </c>
      <c r="O156" s="5">
        <v>2</v>
      </c>
      <c r="P156" s="5">
        <f>ROUND(Source!ER145,O156)</f>
        <v>0</v>
      </c>
      <c r="Q156" s="5"/>
      <c r="R156" s="5"/>
      <c r="S156" s="5"/>
      <c r="T156" s="5"/>
      <c r="U156" s="5"/>
      <c r="V156" s="5"/>
      <c r="W156" s="5">
        <v>0</v>
      </c>
      <c r="X156" s="5">
        <v>1</v>
      </c>
      <c r="Y156" s="5">
        <v>0</v>
      </c>
      <c r="Z156" s="5">
        <v>0</v>
      </c>
      <c r="AA156" s="5">
        <v>1</v>
      </c>
      <c r="AB156" s="5">
        <v>0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203</v>
      </c>
      <c r="F157" s="5">
        <f>ROUND(Source!Q145,O157)</f>
        <v>0</v>
      </c>
      <c r="G157" s="5" t="s">
        <v>226</v>
      </c>
      <c r="H157" s="5" t="s">
        <v>227</v>
      </c>
      <c r="I157" s="5"/>
      <c r="J157" s="5"/>
      <c r="K157" s="5">
        <v>203</v>
      </c>
      <c r="L157" s="5">
        <v>11</v>
      </c>
      <c r="M157" s="5">
        <v>3</v>
      </c>
      <c r="N157" s="5" t="s">
        <v>3</v>
      </c>
      <c r="O157" s="5">
        <v>2</v>
      </c>
      <c r="P157" s="5">
        <f>ROUND(Source!DI145,O157)</f>
        <v>0</v>
      </c>
      <c r="Q157" s="5"/>
      <c r="R157" s="5"/>
      <c r="S157" s="5"/>
      <c r="T157" s="5"/>
      <c r="U157" s="5"/>
      <c r="V157" s="5"/>
      <c r="W157" s="5">
        <v>0</v>
      </c>
      <c r="X157" s="5">
        <v>1</v>
      </c>
      <c r="Y157" s="5">
        <v>0</v>
      </c>
      <c r="Z157" s="5">
        <v>0</v>
      </c>
      <c r="AA157" s="5">
        <v>1</v>
      </c>
      <c r="AB157" s="5">
        <v>0</v>
      </c>
    </row>
    <row r="158" spans="1:28" ht="12.75">
      <c r="A158" s="5">
        <v>50</v>
      </c>
      <c r="B158" s="5">
        <v>0</v>
      </c>
      <c r="C158" s="5">
        <v>0</v>
      </c>
      <c r="D158" s="5">
        <v>1</v>
      </c>
      <c r="E158" s="5">
        <v>231</v>
      </c>
      <c r="F158" s="5">
        <f>ROUND(Source!BB145,O158)</f>
        <v>0</v>
      </c>
      <c r="G158" s="5" t="s">
        <v>228</v>
      </c>
      <c r="H158" s="5" t="s">
        <v>229</v>
      </c>
      <c r="I158" s="5"/>
      <c r="J158" s="5"/>
      <c r="K158" s="5">
        <v>231</v>
      </c>
      <c r="L158" s="5">
        <v>12</v>
      </c>
      <c r="M158" s="5">
        <v>3</v>
      </c>
      <c r="N158" s="5" t="s">
        <v>3</v>
      </c>
      <c r="O158" s="5">
        <v>2</v>
      </c>
      <c r="P158" s="5">
        <f>ROUND(Source!ET145,O158)</f>
        <v>0</v>
      </c>
      <c r="Q158" s="5"/>
      <c r="R158" s="5"/>
      <c r="S158" s="5"/>
      <c r="T158" s="5"/>
      <c r="U158" s="5"/>
      <c r="V158" s="5"/>
      <c r="W158" s="5">
        <v>0</v>
      </c>
      <c r="X158" s="5">
        <v>1</v>
      </c>
      <c r="Y158" s="5">
        <v>0</v>
      </c>
      <c r="Z158" s="5">
        <v>0</v>
      </c>
      <c r="AA158" s="5">
        <v>1</v>
      </c>
      <c r="AB158" s="5">
        <v>0</v>
      </c>
    </row>
    <row r="159" spans="1:28" ht="12.75">
      <c r="A159" s="5">
        <v>50</v>
      </c>
      <c r="B159" s="5">
        <v>0</v>
      </c>
      <c r="C159" s="5">
        <v>0</v>
      </c>
      <c r="D159" s="5">
        <v>1</v>
      </c>
      <c r="E159" s="5">
        <v>204</v>
      </c>
      <c r="F159" s="5">
        <f>ROUND(Source!R145,O159)</f>
        <v>0</v>
      </c>
      <c r="G159" s="5" t="s">
        <v>230</v>
      </c>
      <c r="H159" s="5" t="s">
        <v>231</v>
      </c>
      <c r="I159" s="5"/>
      <c r="J159" s="5"/>
      <c r="K159" s="5">
        <v>204</v>
      </c>
      <c r="L159" s="5">
        <v>13</v>
      </c>
      <c r="M159" s="5">
        <v>3</v>
      </c>
      <c r="N159" s="5" t="s">
        <v>3</v>
      </c>
      <c r="O159" s="5">
        <v>2</v>
      </c>
      <c r="P159" s="5">
        <f>ROUND(Source!DJ145,O159)</f>
        <v>0</v>
      </c>
      <c r="Q159" s="5"/>
      <c r="R159" s="5"/>
      <c r="S159" s="5"/>
      <c r="T159" s="5"/>
      <c r="U159" s="5"/>
      <c r="V159" s="5"/>
      <c r="W159" s="5">
        <v>0</v>
      </c>
      <c r="X159" s="5">
        <v>1</v>
      </c>
      <c r="Y159" s="5">
        <v>0</v>
      </c>
      <c r="Z159" s="5">
        <v>0</v>
      </c>
      <c r="AA159" s="5">
        <v>1</v>
      </c>
      <c r="AB159" s="5">
        <v>0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205</v>
      </c>
      <c r="F160" s="5">
        <f>ROUND(Source!S145,O160)</f>
        <v>0</v>
      </c>
      <c r="G160" s="5" t="s">
        <v>232</v>
      </c>
      <c r="H160" s="5" t="s">
        <v>233</v>
      </c>
      <c r="I160" s="5"/>
      <c r="J160" s="5"/>
      <c r="K160" s="5">
        <v>205</v>
      </c>
      <c r="L160" s="5">
        <v>14</v>
      </c>
      <c r="M160" s="5">
        <v>3</v>
      </c>
      <c r="N160" s="5" t="s">
        <v>3</v>
      </c>
      <c r="O160" s="5">
        <v>2</v>
      </c>
      <c r="P160" s="5">
        <f>ROUND(Source!DK145,O160)</f>
        <v>0</v>
      </c>
      <c r="Q160" s="5"/>
      <c r="R160" s="5"/>
      <c r="S160" s="5"/>
      <c r="T160" s="5"/>
      <c r="U160" s="5"/>
      <c r="V160" s="5"/>
      <c r="W160" s="5">
        <v>0</v>
      </c>
      <c r="X160" s="5">
        <v>1</v>
      </c>
      <c r="Y160" s="5">
        <v>0</v>
      </c>
      <c r="Z160" s="5">
        <v>0</v>
      </c>
      <c r="AA160" s="5">
        <v>1</v>
      </c>
      <c r="AB160" s="5">
        <v>0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232</v>
      </c>
      <c r="F161" s="5">
        <f>ROUND(Source!BC145,O161)</f>
        <v>0</v>
      </c>
      <c r="G161" s="5" t="s">
        <v>234</v>
      </c>
      <c r="H161" s="5" t="s">
        <v>235</v>
      </c>
      <c r="I161" s="5"/>
      <c r="J161" s="5"/>
      <c r="K161" s="5">
        <v>232</v>
      </c>
      <c r="L161" s="5">
        <v>15</v>
      </c>
      <c r="M161" s="5">
        <v>3</v>
      </c>
      <c r="N161" s="5" t="s">
        <v>3</v>
      </c>
      <c r="O161" s="5">
        <v>2</v>
      </c>
      <c r="P161" s="5">
        <f>ROUND(Source!EU145,O161)</f>
        <v>0</v>
      </c>
      <c r="Q161" s="5"/>
      <c r="R161" s="5"/>
      <c r="S161" s="5"/>
      <c r="T161" s="5"/>
      <c r="U161" s="5"/>
      <c r="V161" s="5"/>
      <c r="W161" s="5">
        <v>0</v>
      </c>
      <c r="X161" s="5">
        <v>1</v>
      </c>
      <c r="Y161" s="5">
        <v>0</v>
      </c>
      <c r="Z161" s="5">
        <v>0</v>
      </c>
      <c r="AA161" s="5">
        <v>1</v>
      </c>
      <c r="AB161" s="5">
        <v>0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214</v>
      </c>
      <c r="F162" s="5">
        <f>ROUND(Source!AS145,O162)</f>
        <v>133.3</v>
      </c>
      <c r="G162" s="5" t="s">
        <v>236</v>
      </c>
      <c r="H162" s="5" t="s">
        <v>237</v>
      </c>
      <c r="I162" s="5"/>
      <c r="J162" s="5"/>
      <c r="K162" s="5">
        <v>214</v>
      </c>
      <c r="L162" s="5">
        <v>16</v>
      </c>
      <c r="M162" s="5">
        <v>3</v>
      </c>
      <c r="N162" s="5" t="s">
        <v>3</v>
      </c>
      <c r="O162" s="5">
        <v>2</v>
      </c>
      <c r="P162" s="5">
        <f>ROUND(Source!EK145,O162)</f>
        <v>1764.89</v>
      </c>
      <c r="Q162" s="5"/>
      <c r="R162" s="5"/>
      <c r="S162" s="5"/>
      <c r="T162" s="5"/>
      <c r="U162" s="5"/>
      <c r="V162" s="5"/>
      <c r="W162" s="5">
        <v>133.3</v>
      </c>
      <c r="X162" s="5">
        <v>1</v>
      </c>
      <c r="Y162" s="5">
        <v>133.3</v>
      </c>
      <c r="Z162" s="5">
        <v>1764.89</v>
      </c>
      <c r="AA162" s="5">
        <v>1</v>
      </c>
      <c r="AB162" s="5">
        <v>1764.89</v>
      </c>
    </row>
    <row r="163" spans="1:28" ht="12.75">
      <c r="A163" s="5">
        <v>50</v>
      </c>
      <c r="B163" s="5">
        <v>0</v>
      </c>
      <c r="C163" s="5">
        <v>0</v>
      </c>
      <c r="D163" s="5">
        <v>1</v>
      </c>
      <c r="E163" s="5">
        <v>215</v>
      </c>
      <c r="F163" s="5">
        <f>ROUND(Source!AT145,O163)</f>
        <v>0</v>
      </c>
      <c r="G163" s="5" t="s">
        <v>238</v>
      </c>
      <c r="H163" s="5" t="s">
        <v>239</v>
      </c>
      <c r="I163" s="5"/>
      <c r="J163" s="5"/>
      <c r="K163" s="5">
        <v>215</v>
      </c>
      <c r="L163" s="5">
        <v>17</v>
      </c>
      <c r="M163" s="5">
        <v>3</v>
      </c>
      <c r="N163" s="5" t="s">
        <v>3</v>
      </c>
      <c r="O163" s="5">
        <v>2</v>
      </c>
      <c r="P163" s="5">
        <f>ROUND(Source!EL145,O163)</f>
        <v>0</v>
      </c>
      <c r="Q163" s="5"/>
      <c r="R163" s="5"/>
      <c r="S163" s="5"/>
      <c r="T163" s="5"/>
      <c r="U163" s="5"/>
      <c r="V163" s="5"/>
      <c r="W163" s="5">
        <v>0</v>
      </c>
      <c r="X163" s="5">
        <v>1</v>
      </c>
      <c r="Y163" s="5">
        <v>0</v>
      </c>
      <c r="Z163" s="5">
        <v>0</v>
      </c>
      <c r="AA163" s="5">
        <v>1</v>
      </c>
      <c r="AB163" s="5">
        <v>0</v>
      </c>
    </row>
    <row r="164" spans="1:28" ht="12.75">
      <c r="A164" s="5">
        <v>50</v>
      </c>
      <c r="B164" s="5">
        <v>0</v>
      </c>
      <c r="C164" s="5">
        <v>0</v>
      </c>
      <c r="D164" s="5">
        <v>1</v>
      </c>
      <c r="E164" s="5">
        <v>217</v>
      </c>
      <c r="F164" s="5">
        <f>ROUND(Source!AU145,O164)</f>
        <v>0</v>
      </c>
      <c r="G164" s="5" t="s">
        <v>240</v>
      </c>
      <c r="H164" s="5" t="s">
        <v>241</v>
      </c>
      <c r="I164" s="5"/>
      <c r="J164" s="5"/>
      <c r="K164" s="5">
        <v>217</v>
      </c>
      <c r="L164" s="5">
        <v>18</v>
      </c>
      <c r="M164" s="5">
        <v>3</v>
      </c>
      <c r="N164" s="5" t="s">
        <v>3</v>
      </c>
      <c r="O164" s="5">
        <v>2</v>
      </c>
      <c r="P164" s="5">
        <f>ROUND(Source!EM145,O164)</f>
        <v>0</v>
      </c>
      <c r="Q164" s="5"/>
      <c r="R164" s="5"/>
      <c r="S164" s="5"/>
      <c r="T164" s="5"/>
      <c r="U164" s="5"/>
      <c r="V164" s="5"/>
      <c r="W164" s="5">
        <v>0</v>
      </c>
      <c r="X164" s="5">
        <v>1</v>
      </c>
      <c r="Y164" s="5">
        <v>0</v>
      </c>
      <c r="Z164" s="5">
        <v>0</v>
      </c>
      <c r="AA164" s="5">
        <v>1</v>
      </c>
      <c r="AB164" s="5">
        <v>0</v>
      </c>
    </row>
    <row r="165" spans="1:28" ht="12.75">
      <c r="A165" s="5">
        <v>50</v>
      </c>
      <c r="B165" s="5">
        <v>0</v>
      </c>
      <c r="C165" s="5">
        <v>0</v>
      </c>
      <c r="D165" s="5">
        <v>1</v>
      </c>
      <c r="E165" s="5">
        <v>230</v>
      </c>
      <c r="F165" s="5">
        <f>ROUND(Source!BA145,O165)</f>
        <v>0</v>
      </c>
      <c r="G165" s="5" t="s">
        <v>242</v>
      </c>
      <c r="H165" s="5" t="s">
        <v>243</v>
      </c>
      <c r="I165" s="5"/>
      <c r="J165" s="5"/>
      <c r="K165" s="5">
        <v>230</v>
      </c>
      <c r="L165" s="5">
        <v>19</v>
      </c>
      <c r="M165" s="5">
        <v>3</v>
      </c>
      <c r="N165" s="5" t="s">
        <v>3</v>
      </c>
      <c r="O165" s="5">
        <v>2</v>
      </c>
      <c r="P165" s="5">
        <f>ROUND(Source!ES145,O165)</f>
        <v>0</v>
      </c>
      <c r="Q165" s="5"/>
      <c r="R165" s="5"/>
      <c r="S165" s="5"/>
      <c r="T165" s="5"/>
      <c r="U165" s="5"/>
      <c r="V165" s="5"/>
      <c r="W165" s="5">
        <v>0</v>
      </c>
      <c r="X165" s="5">
        <v>1</v>
      </c>
      <c r="Y165" s="5">
        <v>0</v>
      </c>
      <c r="Z165" s="5">
        <v>0</v>
      </c>
      <c r="AA165" s="5">
        <v>1</v>
      </c>
      <c r="AB165" s="5">
        <v>0</v>
      </c>
    </row>
    <row r="166" spans="1:28" ht="12.75">
      <c r="A166" s="5">
        <v>50</v>
      </c>
      <c r="B166" s="5">
        <v>0</v>
      </c>
      <c r="C166" s="5">
        <v>0</v>
      </c>
      <c r="D166" s="5">
        <v>1</v>
      </c>
      <c r="E166" s="5">
        <v>206</v>
      </c>
      <c r="F166" s="5">
        <f>ROUND(Source!T145,O166)</f>
        <v>0</v>
      </c>
      <c r="G166" s="5" t="s">
        <v>244</v>
      </c>
      <c r="H166" s="5" t="s">
        <v>245</v>
      </c>
      <c r="I166" s="5"/>
      <c r="J166" s="5"/>
      <c r="K166" s="5">
        <v>206</v>
      </c>
      <c r="L166" s="5">
        <v>20</v>
      </c>
      <c r="M166" s="5">
        <v>3</v>
      </c>
      <c r="N166" s="5" t="s">
        <v>3</v>
      </c>
      <c r="O166" s="5">
        <v>2</v>
      </c>
      <c r="P166" s="5">
        <f>ROUND(Source!DL145,O166)</f>
        <v>0</v>
      </c>
      <c r="Q166" s="5"/>
      <c r="R166" s="5"/>
      <c r="S166" s="5"/>
      <c r="T166" s="5"/>
      <c r="U166" s="5"/>
      <c r="V166" s="5"/>
      <c r="W166" s="5">
        <v>0</v>
      </c>
      <c r="X166" s="5">
        <v>1</v>
      </c>
      <c r="Y166" s="5">
        <v>0</v>
      </c>
      <c r="Z166" s="5">
        <v>0</v>
      </c>
      <c r="AA166" s="5">
        <v>1</v>
      </c>
      <c r="AB166" s="5">
        <v>0</v>
      </c>
    </row>
    <row r="167" spans="1:28" ht="12.75">
      <c r="A167" s="5">
        <v>50</v>
      </c>
      <c r="B167" s="5">
        <v>0</v>
      </c>
      <c r="C167" s="5">
        <v>0</v>
      </c>
      <c r="D167" s="5">
        <v>1</v>
      </c>
      <c r="E167" s="5">
        <v>207</v>
      </c>
      <c r="F167" s="5">
        <f>Source!U145</f>
        <v>0</v>
      </c>
      <c r="G167" s="5" t="s">
        <v>246</v>
      </c>
      <c r="H167" s="5" t="s">
        <v>247</v>
      </c>
      <c r="I167" s="5"/>
      <c r="J167" s="5"/>
      <c r="K167" s="5">
        <v>207</v>
      </c>
      <c r="L167" s="5">
        <v>21</v>
      </c>
      <c r="M167" s="5">
        <v>3</v>
      </c>
      <c r="N167" s="5" t="s">
        <v>3</v>
      </c>
      <c r="O167" s="5">
        <v>-1</v>
      </c>
      <c r="P167" s="5">
        <f>Source!DM145</f>
        <v>0</v>
      </c>
      <c r="Q167" s="5"/>
      <c r="R167" s="5"/>
      <c r="S167" s="5"/>
      <c r="T167" s="5"/>
      <c r="U167" s="5"/>
      <c r="V167" s="5"/>
      <c r="W167" s="5">
        <v>0</v>
      </c>
      <c r="X167" s="5">
        <v>1</v>
      </c>
      <c r="Y167" s="5">
        <v>0</v>
      </c>
      <c r="Z167" s="5">
        <v>0</v>
      </c>
      <c r="AA167" s="5">
        <v>1</v>
      </c>
      <c r="AB167" s="5">
        <v>0</v>
      </c>
    </row>
    <row r="168" spans="1:28" ht="12.75">
      <c r="A168" s="5">
        <v>50</v>
      </c>
      <c r="B168" s="5">
        <v>0</v>
      </c>
      <c r="C168" s="5">
        <v>0</v>
      </c>
      <c r="D168" s="5">
        <v>1</v>
      </c>
      <c r="E168" s="5">
        <v>208</v>
      </c>
      <c r="F168" s="5">
        <f>Source!V145</f>
        <v>0</v>
      </c>
      <c r="G168" s="5" t="s">
        <v>248</v>
      </c>
      <c r="H168" s="5" t="s">
        <v>249</v>
      </c>
      <c r="I168" s="5"/>
      <c r="J168" s="5"/>
      <c r="K168" s="5">
        <v>208</v>
      </c>
      <c r="L168" s="5">
        <v>22</v>
      </c>
      <c r="M168" s="5">
        <v>3</v>
      </c>
      <c r="N168" s="5" t="s">
        <v>3</v>
      </c>
      <c r="O168" s="5">
        <v>-1</v>
      </c>
      <c r="P168" s="5">
        <f>Source!DN145</f>
        <v>0</v>
      </c>
      <c r="Q168" s="5"/>
      <c r="R168" s="5"/>
      <c r="S168" s="5"/>
      <c r="T168" s="5"/>
      <c r="U168" s="5"/>
      <c r="V168" s="5"/>
      <c r="W168" s="5">
        <v>0</v>
      </c>
      <c r="X168" s="5">
        <v>1</v>
      </c>
      <c r="Y168" s="5">
        <v>0</v>
      </c>
      <c r="Z168" s="5">
        <v>0</v>
      </c>
      <c r="AA168" s="5">
        <v>1</v>
      </c>
      <c r="AB168" s="5">
        <v>0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209</v>
      </c>
      <c r="F169" s="5">
        <f>ROUND(Source!W145,O169)</f>
        <v>0</v>
      </c>
      <c r="G169" s="5" t="s">
        <v>250</v>
      </c>
      <c r="H169" s="5" t="s">
        <v>251</v>
      </c>
      <c r="I169" s="5"/>
      <c r="J169" s="5"/>
      <c r="K169" s="5">
        <v>209</v>
      </c>
      <c r="L169" s="5">
        <v>23</v>
      </c>
      <c r="M169" s="5">
        <v>3</v>
      </c>
      <c r="N169" s="5" t="s">
        <v>3</v>
      </c>
      <c r="O169" s="5">
        <v>2</v>
      </c>
      <c r="P169" s="5">
        <f>ROUND(Source!DO145,O169)</f>
        <v>0</v>
      </c>
      <c r="Q169" s="5"/>
      <c r="R169" s="5"/>
      <c r="S169" s="5"/>
      <c r="T169" s="5"/>
      <c r="U169" s="5"/>
      <c r="V169" s="5"/>
      <c r="W169" s="5">
        <v>0</v>
      </c>
      <c r="X169" s="5">
        <v>1</v>
      </c>
      <c r="Y169" s="5">
        <v>0</v>
      </c>
      <c r="Z169" s="5">
        <v>0</v>
      </c>
      <c r="AA169" s="5">
        <v>1</v>
      </c>
      <c r="AB169" s="5">
        <v>0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233</v>
      </c>
      <c r="F170" s="5">
        <f>ROUND(Source!BD145,O170)</f>
        <v>133.3</v>
      </c>
      <c r="G170" s="5" t="s">
        <v>252</v>
      </c>
      <c r="H170" s="5" t="s">
        <v>253</v>
      </c>
      <c r="I170" s="5"/>
      <c r="J170" s="5"/>
      <c r="K170" s="5">
        <v>233</v>
      </c>
      <c r="L170" s="5">
        <v>24</v>
      </c>
      <c r="M170" s="5">
        <v>3</v>
      </c>
      <c r="N170" s="5" t="s">
        <v>3</v>
      </c>
      <c r="O170" s="5">
        <v>2</v>
      </c>
      <c r="P170" s="5">
        <f>ROUND(Source!EV145,O170)</f>
        <v>1764.89</v>
      </c>
      <c r="Q170" s="5"/>
      <c r="R170" s="5"/>
      <c r="S170" s="5"/>
      <c r="T170" s="5"/>
      <c r="U170" s="5"/>
      <c r="V170" s="5"/>
      <c r="W170" s="5">
        <v>133.3</v>
      </c>
      <c r="X170" s="5">
        <v>1</v>
      </c>
      <c r="Y170" s="5">
        <v>133.3</v>
      </c>
      <c r="Z170" s="5">
        <v>1764.89</v>
      </c>
      <c r="AA170" s="5">
        <v>1</v>
      </c>
      <c r="AB170" s="5">
        <v>1764.89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210</v>
      </c>
      <c r="F171" s="5">
        <f>ROUND(Source!X145,O171)</f>
        <v>0</v>
      </c>
      <c r="G171" s="5" t="s">
        <v>254</v>
      </c>
      <c r="H171" s="5" t="s">
        <v>255</v>
      </c>
      <c r="I171" s="5"/>
      <c r="J171" s="5"/>
      <c r="K171" s="5">
        <v>210</v>
      </c>
      <c r="L171" s="5">
        <v>25</v>
      </c>
      <c r="M171" s="5">
        <v>3</v>
      </c>
      <c r="N171" s="5" t="s">
        <v>3</v>
      </c>
      <c r="O171" s="5">
        <v>2</v>
      </c>
      <c r="P171" s="5">
        <f>ROUND(Source!DP145,O171)</f>
        <v>0</v>
      </c>
      <c r="Q171" s="5"/>
      <c r="R171" s="5"/>
      <c r="S171" s="5"/>
      <c r="T171" s="5"/>
      <c r="U171" s="5"/>
      <c r="V171" s="5"/>
      <c r="W171" s="5">
        <v>0</v>
      </c>
      <c r="X171" s="5">
        <v>1</v>
      </c>
      <c r="Y171" s="5">
        <v>0</v>
      </c>
      <c r="Z171" s="5">
        <v>0</v>
      </c>
      <c r="AA171" s="5">
        <v>1</v>
      </c>
      <c r="AB171" s="5">
        <v>0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211</v>
      </c>
      <c r="F172" s="5">
        <f>ROUND(Source!Y145,O172)</f>
        <v>0</v>
      </c>
      <c r="G172" s="5" t="s">
        <v>256</v>
      </c>
      <c r="H172" s="5" t="s">
        <v>257</v>
      </c>
      <c r="I172" s="5"/>
      <c r="J172" s="5"/>
      <c r="K172" s="5">
        <v>211</v>
      </c>
      <c r="L172" s="5">
        <v>26</v>
      </c>
      <c r="M172" s="5">
        <v>3</v>
      </c>
      <c r="N172" s="5" t="s">
        <v>3</v>
      </c>
      <c r="O172" s="5">
        <v>2</v>
      </c>
      <c r="P172" s="5">
        <f>ROUND(Source!DQ145,O172)</f>
        <v>0</v>
      </c>
      <c r="Q172" s="5"/>
      <c r="R172" s="5"/>
      <c r="S172" s="5"/>
      <c r="T172" s="5"/>
      <c r="U172" s="5"/>
      <c r="V172" s="5"/>
      <c r="W172" s="5">
        <v>0</v>
      </c>
      <c r="X172" s="5">
        <v>1</v>
      </c>
      <c r="Y172" s="5">
        <v>0</v>
      </c>
      <c r="Z172" s="5">
        <v>0</v>
      </c>
      <c r="AA172" s="5">
        <v>1</v>
      </c>
      <c r="AB172" s="5">
        <v>0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224</v>
      </c>
      <c r="F173" s="5">
        <f>ROUND(Source!AR145,O173)</f>
        <v>133.3</v>
      </c>
      <c r="G173" s="5" t="s">
        <v>258</v>
      </c>
      <c r="H173" s="5" t="s">
        <v>259</v>
      </c>
      <c r="I173" s="5"/>
      <c r="J173" s="5"/>
      <c r="K173" s="5">
        <v>224</v>
      </c>
      <c r="L173" s="5">
        <v>27</v>
      </c>
      <c r="M173" s="5">
        <v>3</v>
      </c>
      <c r="N173" s="5" t="s">
        <v>3</v>
      </c>
      <c r="O173" s="5">
        <v>2</v>
      </c>
      <c r="P173" s="5">
        <f>ROUND(Source!EJ145,O173)</f>
        <v>1764.89</v>
      </c>
      <c r="Q173" s="5"/>
      <c r="R173" s="5"/>
      <c r="S173" s="5"/>
      <c r="T173" s="5"/>
      <c r="U173" s="5"/>
      <c r="V173" s="5"/>
      <c r="W173" s="5">
        <v>133.3</v>
      </c>
      <c r="X173" s="5">
        <v>1</v>
      </c>
      <c r="Y173" s="5">
        <v>133.3</v>
      </c>
      <c r="Z173" s="5">
        <v>1764.89</v>
      </c>
      <c r="AA173" s="5">
        <v>1</v>
      </c>
      <c r="AB173" s="5">
        <v>1764.89</v>
      </c>
    </row>
    <row r="174" spans="1:28" ht="12.75">
      <c r="A174" s="5">
        <v>50</v>
      </c>
      <c r="B174" s="5">
        <v>1</v>
      </c>
      <c r="C174" s="5">
        <v>0</v>
      </c>
      <c r="D174" s="5">
        <v>2</v>
      </c>
      <c r="E174" s="5">
        <v>0</v>
      </c>
      <c r="F174" s="5">
        <f>ROUND(F173,O174)</f>
        <v>133.3</v>
      </c>
      <c r="G174" s="5" t="s">
        <v>260</v>
      </c>
      <c r="H174" s="5" t="s">
        <v>261</v>
      </c>
      <c r="I174" s="5"/>
      <c r="J174" s="5"/>
      <c r="K174" s="5">
        <v>212</v>
      </c>
      <c r="L174" s="5">
        <v>28</v>
      </c>
      <c r="M174" s="5">
        <v>0</v>
      </c>
      <c r="N174" s="5" t="s">
        <v>3</v>
      </c>
      <c r="O174" s="5">
        <v>2</v>
      </c>
      <c r="P174" s="5">
        <f>ROUND(P173,O174)</f>
        <v>1764.89</v>
      </c>
      <c r="Q174" s="5"/>
      <c r="R174" s="5"/>
      <c r="S174" s="5"/>
      <c r="T174" s="5"/>
      <c r="U174" s="5"/>
      <c r="V174" s="5"/>
      <c r="W174" s="5">
        <v>133.3</v>
      </c>
      <c r="X174" s="5">
        <v>1</v>
      </c>
      <c r="Y174" s="5">
        <v>133.3</v>
      </c>
      <c r="Z174" s="5">
        <v>1764.89</v>
      </c>
      <c r="AA174" s="5">
        <v>1</v>
      </c>
      <c r="AB174" s="5">
        <v>1764.89</v>
      </c>
    </row>
    <row r="176" spans="1:206" ht="12.75">
      <c r="A176" s="3">
        <v>51</v>
      </c>
      <c r="B176" s="3">
        <f>B20</f>
        <v>1</v>
      </c>
      <c r="C176" s="3">
        <f>A20</f>
        <v>3</v>
      </c>
      <c r="D176" s="3">
        <f>ROW(A20)</f>
        <v>20</v>
      </c>
      <c r="E176" s="3"/>
      <c r="F176" s="3">
        <f>IF(F20&lt;&gt;"",F20,"")</f>
      </c>
      <c r="G176" s="3">
        <f>IF(G20&lt;&gt;"",G20,"")</f>
      </c>
      <c r="H176" s="3">
        <v>0</v>
      </c>
      <c r="I176" s="3"/>
      <c r="J176" s="3"/>
      <c r="K176" s="3"/>
      <c r="L176" s="3"/>
      <c r="M176" s="3"/>
      <c r="N176" s="3"/>
      <c r="O176" s="3">
        <f aca="true" t="shared" si="159" ref="O176:T176">ROUND(O105+O145+AB176,2)</f>
        <v>2617399.06</v>
      </c>
      <c r="P176" s="3">
        <f t="shared" si="159"/>
        <v>2613184.26</v>
      </c>
      <c r="Q176" s="3">
        <f t="shared" si="159"/>
        <v>945.32</v>
      </c>
      <c r="R176" s="3">
        <f t="shared" si="159"/>
        <v>110.2</v>
      </c>
      <c r="S176" s="3">
        <f t="shared" si="159"/>
        <v>3269.48</v>
      </c>
      <c r="T176" s="3">
        <f t="shared" si="159"/>
        <v>0</v>
      </c>
      <c r="U176" s="3">
        <f>U105+U145+AH176</f>
        <v>331.60513999999995</v>
      </c>
      <c r="V176" s="3">
        <f>V105+V145+AI176</f>
        <v>8.718285</v>
      </c>
      <c r="W176" s="3">
        <f>ROUND(W105+W145+AJ176,2)</f>
        <v>0</v>
      </c>
      <c r="X176" s="3">
        <f>ROUND(X105+X145+AK176,2)</f>
        <v>3162.52</v>
      </c>
      <c r="Y176" s="3">
        <f>ROUND(Y105+Y145+AL176,2)</f>
        <v>1878.88</v>
      </c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>
        <f aca="true" t="shared" si="160" ref="AO176:BD176">ROUND(AO105+AO145+BX176,2)</f>
        <v>0</v>
      </c>
      <c r="AP176" s="3">
        <f t="shared" si="160"/>
        <v>0</v>
      </c>
      <c r="AQ176" s="3">
        <f t="shared" si="160"/>
        <v>0</v>
      </c>
      <c r="AR176" s="3">
        <f t="shared" si="160"/>
        <v>2622573.76</v>
      </c>
      <c r="AS176" s="3">
        <f t="shared" si="160"/>
        <v>1454576.08</v>
      </c>
      <c r="AT176" s="3">
        <f t="shared" si="160"/>
        <v>1167997.68</v>
      </c>
      <c r="AU176" s="3">
        <f t="shared" si="160"/>
        <v>0</v>
      </c>
      <c r="AV176" s="3">
        <f t="shared" si="160"/>
        <v>2613184.26</v>
      </c>
      <c r="AW176" s="3">
        <f t="shared" si="160"/>
        <v>2613184.26</v>
      </c>
      <c r="AX176" s="3">
        <f t="shared" si="160"/>
        <v>0</v>
      </c>
      <c r="AY176" s="3">
        <f t="shared" si="160"/>
        <v>2613184.26</v>
      </c>
      <c r="AZ176" s="3">
        <f t="shared" si="160"/>
        <v>0</v>
      </c>
      <c r="BA176" s="3">
        <f t="shared" si="160"/>
        <v>0</v>
      </c>
      <c r="BB176" s="3">
        <f t="shared" si="160"/>
        <v>0</v>
      </c>
      <c r="BC176" s="3">
        <f t="shared" si="160"/>
        <v>0</v>
      </c>
      <c r="BD176" s="3">
        <f t="shared" si="160"/>
        <v>133.3</v>
      </c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4">
        <f aca="true" t="shared" si="161" ref="DG176:DL176">ROUND(DG105+DG145+DT176,2)</f>
        <v>2774084.57</v>
      </c>
      <c r="DH176" s="4">
        <f t="shared" si="161"/>
        <v>2639486.28</v>
      </c>
      <c r="DI176" s="4">
        <f t="shared" si="161"/>
        <v>12516.25</v>
      </c>
      <c r="DJ176" s="4">
        <f t="shared" si="161"/>
        <v>4114.58</v>
      </c>
      <c r="DK176" s="4">
        <f t="shared" si="161"/>
        <v>122082.04</v>
      </c>
      <c r="DL176" s="4">
        <f t="shared" si="161"/>
        <v>0</v>
      </c>
      <c r="DM176" s="4">
        <f>DM105+DM145+DZ176</f>
        <v>331.60513999999995</v>
      </c>
      <c r="DN176" s="4">
        <f>DN105+DN145+EA176</f>
        <v>8.718285</v>
      </c>
      <c r="DO176" s="4">
        <f>ROUND(DO105+DO145+EB176,2)</f>
        <v>0</v>
      </c>
      <c r="DP176" s="4">
        <f>ROUND(DP105+DP145+EC176,2)</f>
        <v>118087.68</v>
      </c>
      <c r="DQ176" s="4">
        <f>ROUND(DQ105+DQ145+ED176,2)</f>
        <v>70156.9</v>
      </c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>
        <f aca="true" t="shared" si="162" ref="EG176:EV176">ROUND(EG105+EG145+FP176,2)</f>
        <v>0</v>
      </c>
      <c r="EH176" s="4">
        <f t="shared" si="162"/>
        <v>0</v>
      </c>
      <c r="EI176" s="4">
        <f t="shared" si="162"/>
        <v>0</v>
      </c>
      <c r="EJ176" s="4">
        <f t="shared" si="162"/>
        <v>2964094.04</v>
      </c>
      <c r="EK176" s="4">
        <f t="shared" si="162"/>
        <v>1778135.98</v>
      </c>
      <c r="EL176" s="4">
        <f t="shared" si="162"/>
        <v>1185958.06</v>
      </c>
      <c r="EM176" s="4">
        <f t="shared" si="162"/>
        <v>0</v>
      </c>
      <c r="EN176" s="4">
        <f t="shared" si="162"/>
        <v>2639486.28</v>
      </c>
      <c r="EO176" s="4">
        <f t="shared" si="162"/>
        <v>2639486.28</v>
      </c>
      <c r="EP176" s="4">
        <f t="shared" si="162"/>
        <v>0</v>
      </c>
      <c r="EQ176" s="4">
        <f t="shared" si="162"/>
        <v>2639486.28</v>
      </c>
      <c r="ER176" s="4">
        <f t="shared" si="162"/>
        <v>0</v>
      </c>
      <c r="ES176" s="4">
        <f t="shared" si="162"/>
        <v>0</v>
      </c>
      <c r="ET176" s="4">
        <f t="shared" si="162"/>
        <v>0</v>
      </c>
      <c r="EU176" s="4">
        <f t="shared" si="162"/>
        <v>0</v>
      </c>
      <c r="EV176" s="4">
        <f t="shared" si="162"/>
        <v>1764.89</v>
      </c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>
        <v>0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201</v>
      </c>
      <c r="F178" s="5">
        <f>ROUND(Source!O176,O178)</f>
        <v>2617399.06</v>
      </c>
      <c r="G178" s="5" t="s">
        <v>206</v>
      </c>
      <c r="H178" s="5" t="s">
        <v>207</v>
      </c>
      <c r="I178" s="5"/>
      <c r="J178" s="5"/>
      <c r="K178" s="5">
        <v>201</v>
      </c>
      <c r="L178" s="5">
        <v>1</v>
      </c>
      <c r="M178" s="5">
        <v>3</v>
      </c>
      <c r="N178" s="5" t="s">
        <v>3</v>
      </c>
      <c r="O178" s="5">
        <v>2</v>
      </c>
      <c r="P178" s="5">
        <f>ROUND(Source!DG176,O178)</f>
        <v>2774084.57</v>
      </c>
      <c r="Q178" s="5"/>
      <c r="R178" s="5"/>
      <c r="S178" s="5"/>
      <c r="T178" s="5"/>
      <c r="U178" s="5"/>
      <c r="V178" s="5"/>
      <c r="W178" s="5">
        <v>2617532.36</v>
      </c>
      <c r="X178" s="5">
        <v>1</v>
      </c>
      <c r="Y178" s="5">
        <v>2617532.36</v>
      </c>
      <c r="Z178" s="5">
        <v>2775849.46</v>
      </c>
      <c r="AA178" s="5">
        <v>1</v>
      </c>
      <c r="AB178" s="5">
        <v>2775849.46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202</v>
      </c>
      <c r="F179" s="5">
        <f>ROUND(Source!P176,O179)</f>
        <v>2613184.26</v>
      </c>
      <c r="G179" s="5" t="s">
        <v>208</v>
      </c>
      <c r="H179" s="5" t="s">
        <v>209</v>
      </c>
      <c r="I179" s="5"/>
      <c r="J179" s="5"/>
      <c r="K179" s="5">
        <v>202</v>
      </c>
      <c r="L179" s="5">
        <v>2</v>
      </c>
      <c r="M179" s="5">
        <v>3</v>
      </c>
      <c r="N179" s="5" t="s">
        <v>3</v>
      </c>
      <c r="O179" s="5">
        <v>2</v>
      </c>
      <c r="P179" s="5">
        <f>ROUND(Source!DH176,O179)</f>
        <v>2639486.28</v>
      </c>
      <c r="Q179" s="5"/>
      <c r="R179" s="5"/>
      <c r="S179" s="5"/>
      <c r="T179" s="5"/>
      <c r="U179" s="5"/>
      <c r="V179" s="5"/>
      <c r="W179" s="5">
        <v>2613184.26</v>
      </c>
      <c r="X179" s="5">
        <v>1</v>
      </c>
      <c r="Y179" s="5">
        <v>2613184.26</v>
      </c>
      <c r="Z179" s="5">
        <v>2639486.28</v>
      </c>
      <c r="AA179" s="5">
        <v>1</v>
      </c>
      <c r="AB179" s="5">
        <v>2639486.28</v>
      </c>
    </row>
    <row r="180" spans="1:28" ht="12.75">
      <c r="A180" s="5">
        <v>50</v>
      </c>
      <c r="B180" s="5">
        <v>0</v>
      </c>
      <c r="C180" s="5">
        <v>0</v>
      </c>
      <c r="D180" s="5">
        <v>1</v>
      </c>
      <c r="E180" s="5">
        <v>222</v>
      </c>
      <c r="F180" s="5">
        <f>ROUND(Source!AO176,O180)</f>
        <v>0</v>
      </c>
      <c r="G180" s="5" t="s">
        <v>210</v>
      </c>
      <c r="H180" s="5" t="s">
        <v>211</v>
      </c>
      <c r="I180" s="5"/>
      <c r="J180" s="5"/>
      <c r="K180" s="5">
        <v>222</v>
      </c>
      <c r="L180" s="5">
        <v>3</v>
      </c>
      <c r="M180" s="5">
        <v>3</v>
      </c>
      <c r="N180" s="5" t="s">
        <v>3</v>
      </c>
      <c r="O180" s="5">
        <v>2</v>
      </c>
      <c r="P180" s="5">
        <f>ROUND(Source!EG176,O180)</f>
        <v>0</v>
      </c>
      <c r="Q180" s="5"/>
      <c r="R180" s="5"/>
      <c r="S180" s="5"/>
      <c r="T180" s="5"/>
      <c r="U180" s="5"/>
      <c r="V180" s="5"/>
      <c r="W180" s="5">
        <v>0</v>
      </c>
      <c r="X180" s="5">
        <v>1</v>
      </c>
      <c r="Y180" s="5">
        <v>0</v>
      </c>
      <c r="Z180" s="5">
        <v>0</v>
      </c>
      <c r="AA180" s="5">
        <v>1</v>
      </c>
      <c r="AB180" s="5">
        <v>0</v>
      </c>
    </row>
    <row r="181" spans="1:28" ht="12.75">
      <c r="A181" s="5">
        <v>50</v>
      </c>
      <c r="B181" s="5">
        <v>0</v>
      </c>
      <c r="C181" s="5">
        <v>0</v>
      </c>
      <c r="D181" s="5">
        <v>1</v>
      </c>
      <c r="E181" s="5">
        <v>225</v>
      </c>
      <c r="F181" s="5">
        <f>ROUND(Source!AV176,O181)</f>
        <v>2613184.26</v>
      </c>
      <c r="G181" s="5" t="s">
        <v>212</v>
      </c>
      <c r="H181" s="5" t="s">
        <v>213</v>
      </c>
      <c r="I181" s="5"/>
      <c r="J181" s="5"/>
      <c r="K181" s="5">
        <v>225</v>
      </c>
      <c r="L181" s="5">
        <v>4</v>
      </c>
      <c r="M181" s="5">
        <v>3</v>
      </c>
      <c r="N181" s="5" t="s">
        <v>3</v>
      </c>
      <c r="O181" s="5">
        <v>2</v>
      </c>
      <c r="P181" s="5">
        <f>ROUND(Source!EN176,O181)</f>
        <v>2639486.28</v>
      </c>
      <c r="Q181" s="5"/>
      <c r="R181" s="5"/>
      <c r="S181" s="5"/>
      <c r="T181" s="5"/>
      <c r="U181" s="5"/>
      <c r="V181" s="5"/>
      <c r="W181" s="5">
        <v>2613184.26</v>
      </c>
      <c r="X181" s="5">
        <v>1</v>
      </c>
      <c r="Y181" s="5">
        <v>2613184.26</v>
      </c>
      <c r="Z181" s="5">
        <v>2639486.28</v>
      </c>
      <c r="AA181" s="5">
        <v>1</v>
      </c>
      <c r="AB181" s="5">
        <v>2639486.28</v>
      </c>
    </row>
    <row r="182" spans="1:28" ht="12.75">
      <c r="A182" s="5">
        <v>50</v>
      </c>
      <c r="B182" s="5">
        <v>1</v>
      </c>
      <c r="C182" s="5">
        <v>0</v>
      </c>
      <c r="D182" s="5">
        <v>1</v>
      </c>
      <c r="E182" s="5">
        <v>226</v>
      </c>
      <c r="F182" s="5">
        <f>ROUND(Source!AW176,O182)</f>
        <v>2613184.26</v>
      </c>
      <c r="G182" s="5" t="s">
        <v>214</v>
      </c>
      <c r="H182" s="5" t="s">
        <v>215</v>
      </c>
      <c r="I182" s="5"/>
      <c r="J182" s="5"/>
      <c r="K182" s="5">
        <v>226</v>
      </c>
      <c r="L182" s="5">
        <v>5</v>
      </c>
      <c r="M182" s="5">
        <v>0</v>
      </c>
      <c r="N182" s="5" t="s">
        <v>3</v>
      </c>
      <c r="O182" s="5">
        <v>2</v>
      </c>
      <c r="P182" s="5">
        <f>ROUND(Source!EO176,O182)</f>
        <v>2639486.28</v>
      </c>
      <c r="Q182" s="5"/>
      <c r="R182" s="5"/>
      <c r="S182" s="5"/>
      <c r="T182" s="5"/>
      <c r="U182" s="5"/>
      <c r="V182" s="5"/>
      <c r="W182" s="5">
        <v>2613184.26</v>
      </c>
      <c r="X182" s="5">
        <v>1</v>
      </c>
      <c r="Y182" s="5">
        <v>2613184.26</v>
      </c>
      <c r="Z182" s="5">
        <v>2639486.28</v>
      </c>
      <c r="AA182" s="5">
        <v>1</v>
      </c>
      <c r="AB182" s="5">
        <v>2639486.28</v>
      </c>
    </row>
    <row r="183" spans="1:28" ht="12.75">
      <c r="A183" s="5">
        <v>50</v>
      </c>
      <c r="B183" s="5">
        <v>0</v>
      </c>
      <c r="C183" s="5">
        <v>0</v>
      </c>
      <c r="D183" s="5">
        <v>1</v>
      </c>
      <c r="E183" s="5">
        <v>227</v>
      </c>
      <c r="F183" s="5">
        <f>ROUND(Source!AX176,O183)</f>
        <v>0</v>
      </c>
      <c r="G183" s="5" t="s">
        <v>216</v>
      </c>
      <c r="H183" s="5" t="s">
        <v>217</v>
      </c>
      <c r="I183" s="5"/>
      <c r="J183" s="5"/>
      <c r="K183" s="5">
        <v>227</v>
      </c>
      <c r="L183" s="5">
        <v>6</v>
      </c>
      <c r="M183" s="5">
        <v>3</v>
      </c>
      <c r="N183" s="5" t="s">
        <v>3</v>
      </c>
      <c r="O183" s="5">
        <v>2</v>
      </c>
      <c r="P183" s="5">
        <f>ROUND(Source!EP176,O183)</f>
        <v>0</v>
      </c>
      <c r="Q183" s="5"/>
      <c r="R183" s="5"/>
      <c r="S183" s="5"/>
      <c r="T183" s="5"/>
      <c r="U183" s="5"/>
      <c r="V183" s="5"/>
      <c r="W183" s="5">
        <v>0</v>
      </c>
      <c r="X183" s="5">
        <v>1</v>
      </c>
      <c r="Y183" s="5">
        <v>0</v>
      </c>
      <c r="Z183" s="5">
        <v>0</v>
      </c>
      <c r="AA183" s="5">
        <v>1</v>
      </c>
      <c r="AB183" s="5">
        <v>0</v>
      </c>
    </row>
    <row r="184" spans="1:28" ht="12.75">
      <c r="A184" s="5">
        <v>50</v>
      </c>
      <c r="B184" s="5">
        <v>0</v>
      </c>
      <c r="C184" s="5">
        <v>0</v>
      </c>
      <c r="D184" s="5">
        <v>1</v>
      </c>
      <c r="E184" s="5">
        <v>228</v>
      </c>
      <c r="F184" s="5">
        <f>ROUND(Source!AY176,O184)</f>
        <v>2613184.26</v>
      </c>
      <c r="G184" s="5" t="s">
        <v>218</v>
      </c>
      <c r="H184" s="5" t="s">
        <v>219</v>
      </c>
      <c r="I184" s="5"/>
      <c r="J184" s="5"/>
      <c r="K184" s="5">
        <v>228</v>
      </c>
      <c r="L184" s="5">
        <v>7</v>
      </c>
      <c r="M184" s="5">
        <v>3</v>
      </c>
      <c r="N184" s="5" t="s">
        <v>3</v>
      </c>
      <c r="O184" s="5">
        <v>2</v>
      </c>
      <c r="P184" s="5">
        <f>ROUND(Source!EQ176,O184)</f>
        <v>2639486.28</v>
      </c>
      <c r="Q184" s="5"/>
      <c r="R184" s="5"/>
      <c r="S184" s="5"/>
      <c r="T184" s="5"/>
      <c r="U184" s="5"/>
      <c r="V184" s="5"/>
      <c r="W184" s="5">
        <v>2613184.26</v>
      </c>
      <c r="X184" s="5">
        <v>1</v>
      </c>
      <c r="Y184" s="5">
        <v>2613184.26</v>
      </c>
      <c r="Z184" s="5">
        <v>2639486.28</v>
      </c>
      <c r="AA184" s="5">
        <v>1</v>
      </c>
      <c r="AB184" s="5">
        <v>2639486.28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216</v>
      </c>
      <c r="F185" s="5">
        <f>ROUND(Source!AP176,O185)</f>
        <v>0</v>
      </c>
      <c r="G185" s="5" t="s">
        <v>220</v>
      </c>
      <c r="H185" s="5" t="s">
        <v>221</v>
      </c>
      <c r="I185" s="5"/>
      <c r="J185" s="5"/>
      <c r="K185" s="5">
        <v>216</v>
      </c>
      <c r="L185" s="5">
        <v>8</v>
      </c>
      <c r="M185" s="5">
        <v>3</v>
      </c>
      <c r="N185" s="5" t="s">
        <v>3</v>
      </c>
      <c r="O185" s="5">
        <v>2</v>
      </c>
      <c r="P185" s="5">
        <f>ROUND(Source!EH176,O185)</f>
        <v>0</v>
      </c>
      <c r="Q185" s="5"/>
      <c r="R185" s="5"/>
      <c r="S185" s="5"/>
      <c r="T185" s="5"/>
      <c r="U185" s="5"/>
      <c r="V185" s="5"/>
      <c r="W185" s="5">
        <v>0</v>
      </c>
      <c r="X185" s="5">
        <v>1</v>
      </c>
      <c r="Y185" s="5">
        <v>0</v>
      </c>
      <c r="Z185" s="5">
        <v>0</v>
      </c>
      <c r="AA185" s="5">
        <v>1</v>
      </c>
      <c r="AB185" s="5">
        <v>0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223</v>
      </c>
      <c r="F186" s="5">
        <f>ROUND(Source!AQ176,O186)</f>
        <v>0</v>
      </c>
      <c r="G186" s="5" t="s">
        <v>222</v>
      </c>
      <c r="H186" s="5" t="s">
        <v>223</v>
      </c>
      <c r="I186" s="5"/>
      <c r="J186" s="5"/>
      <c r="K186" s="5">
        <v>223</v>
      </c>
      <c r="L186" s="5">
        <v>9</v>
      </c>
      <c r="M186" s="5">
        <v>3</v>
      </c>
      <c r="N186" s="5" t="s">
        <v>3</v>
      </c>
      <c r="O186" s="5">
        <v>2</v>
      </c>
      <c r="P186" s="5">
        <f>ROUND(Source!EI176,O186)</f>
        <v>0</v>
      </c>
      <c r="Q186" s="5"/>
      <c r="R186" s="5"/>
      <c r="S186" s="5"/>
      <c r="T186" s="5"/>
      <c r="U186" s="5"/>
      <c r="V186" s="5"/>
      <c r="W186" s="5">
        <v>0</v>
      </c>
      <c r="X186" s="5">
        <v>1</v>
      </c>
      <c r="Y186" s="5">
        <v>0</v>
      </c>
      <c r="Z186" s="5">
        <v>0</v>
      </c>
      <c r="AA186" s="5">
        <v>1</v>
      </c>
      <c r="AB186" s="5">
        <v>0</v>
      </c>
    </row>
    <row r="187" spans="1:28" ht="12.75">
      <c r="A187" s="5">
        <v>50</v>
      </c>
      <c r="B187" s="5">
        <v>0</v>
      </c>
      <c r="C187" s="5">
        <v>0</v>
      </c>
      <c r="D187" s="5">
        <v>1</v>
      </c>
      <c r="E187" s="5">
        <v>229</v>
      </c>
      <c r="F187" s="5">
        <f>ROUND(Source!AZ176,O187)</f>
        <v>0</v>
      </c>
      <c r="G187" s="5" t="s">
        <v>224</v>
      </c>
      <c r="H187" s="5" t="s">
        <v>225</v>
      </c>
      <c r="I187" s="5"/>
      <c r="J187" s="5"/>
      <c r="K187" s="5">
        <v>229</v>
      </c>
      <c r="L187" s="5">
        <v>10</v>
      </c>
      <c r="M187" s="5">
        <v>3</v>
      </c>
      <c r="N187" s="5" t="s">
        <v>3</v>
      </c>
      <c r="O187" s="5">
        <v>2</v>
      </c>
      <c r="P187" s="5">
        <f>ROUND(Source!ER176,O187)</f>
        <v>0</v>
      </c>
      <c r="Q187" s="5"/>
      <c r="R187" s="5"/>
      <c r="S187" s="5"/>
      <c r="T187" s="5"/>
      <c r="U187" s="5"/>
      <c r="V187" s="5"/>
      <c r="W187" s="5">
        <v>0</v>
      </c>
      <c r="X187" s="5">
        <v>1</v>
      </c>
      <c r="Y187" s="5">
        <v>0</v>
      </c>
      <c r="Z187" s="5">
        <v>0</v>
      </c>
      <c r="AA187" s="5">
        <v>1</v>
      </c>
      <c r="AB187" s="5">
        <v>0</v>
      </c>
    </row>
    <row r="188" spans="1:28" ht="12.75">
      <c r="A188" s="5">
        <v>50</v>
      </c>
      <c r="B188" s="5">
        <v>0</v>
      </c>
      <c r="C188" s="5">
        <v>0</v>
      </c>
      <c r="D188" s="5">
        <v>1</v>
      </c>
      <c r="E188" s="5">
        <v>203</v>
      </c>
      <c r="F188" s="5">
        <f>ROUND(Source!Q176,O188)</f>
        <v>945.32</v>
      </c>
      <c r="G188" s="5" t="s">
        <v>226</v>
      </c>
      <c r="H188" s="5" t="s">
        <v>227</v>
      </c>
      <c r="I188" s="5"/>
      <c r="J188" s="5"/>
      <c r="K188" s="5">
        <v>203</v>
      </c>
      <c r="L188" s="5">
        <v>11</v>
      </c>
      <c r="M188" s="5">
        <v>3</v>
      </c>
      <c r="N188" s="5" t="s">
        <v>3</v>
      </c>
      <c r="O188" s="5">
        <v>2</v>
      </c>
      <c r="P188" s="5">
        <f>ROUND(Source!DI176,O188)</f>
        <v>12516.25</v>
      </c>
      <c r="Q188" s="5"/>
      <c r="R188" s="5"/>
      <c r="S188" s="5"/>
      <c r="T188" s="5"/>
      <c r="U188" s="5"/>
      <c r="V188" s="5"/>
      <c r="W188" s="5">
        <v>945.32</v>
      </c>
      <c r="X188" s="5">
        <v>1</v>
      </c>
      <c r="Y188" s="5">
        <v>945.32</v>
      </c>
      <c r="Z188" s="5">
        <v>12516.25</v>
      </c>
      <c r="AA188" s="5">
        <v>1</v>
      </c>
      <c r="AB188" s="5">
        <v>12516.25</v>
      </c>
    </row>
    <row r="189" spans="1:28" ht="12.75">
      <c r="A189" s="5">
        <v>50</v>
      </c>
      <c r="B189" s="5">
        <v>0</v>
      </c>
      <c r="C189" s="5">
        <v>0</v>
      </c>
      <c r="D189" s="5">
        <v>1</v>
      </c>
      <c r="E189" s="5">
        <v>231</v>
      </c>
      <c r="F189" s="5">
        <f>ROUND(Source!BB176,O189)</f>
        <v>0</v>
      </c>
      <c r="G189" s="5" t="s">
        <v>228</v>
      </c>
      <c r="H189" s="5" t="s">
        <v>229</v>
      </c>
      <c r="I189" s="5"/>
      <c r="J189" s="5"/>
      <c r="K189" s="5">
        <v>231</v>
      </c>
      <c r="L189" s="5">
        <v>12</v>
      </c>
      <c r="M189" s="5">
        <v>3</v>
      </c>
      <c r="N189" s="5" t="s">
        <v>3</v>
      </c>
      <c r="O189" s="5">
        <v>2</v>
      </c>
      <c r="P189" s="5">
        <f>ROUND(Source!ET176,O189)</f>
        <v>0</v>
      </c>
      <c r="Q189" s="5"/>
      <c r="R189" s="5"/>
      <c r="S189" s="5"/>
      <c r="T189" s="5"/>
      <c r="U189" s="5"/>
      <c r="V189" s="5"/>
      <c r="W189" s="5">
        <v>0</v>
      </c>
      <c r="X189" s="5">
        <v>1</v>
      </c>
      <c r="Y189" s="5">
        <v>0</v>
      </c>
      <c r="Z189" s="5">
        <v>0</v>
      </c>
      <c r="AA189" s="5">
        <v>1</v>
      </c>
      <c r="AB189" s="5">
        <v>0</v>
      </c>
    </row>
    <row r="190" spans="1:28" ht="12.75">
      <c r="A190" s="5">
        <v>50</v>
      </c>
      <c r="B190" s="5">
        <v>0</v>
      </c>
      <c r="C190" s="5">
        <v>0</v>
      </c>
      <c r="D190" s="5">
        <v>1</v>
      </c>
      <c r="E190" s="5">
        <v>204</v>
      </c>
      <c r="F190" s="5">
        <f>ROUND(Source!R176,O190)</f>
        <v>110.2</v>
      </c>
      <c r="G190" s="5" t="s">
        <v>230</v>
      </c>
      <c r="H190" s="5" t="s">
        <v>231</v>
      </c>
      <c r="I190" s="5"/>
      <c r="J190" s="5"/>
      <c r="K190" s="5">
        <v>204</v>
      </c>
      <c r="L190" s="5">
        <v>13</v>
      </c>
      <c r="M190" s="5">
        <v>3</v>
      </c>
      <c r="N190" s="5" t="s">
        <v>3</v>
      </c>
      <c r="O190" s="5">
        <v>2</v>
      </c>
      <c r="P190" s="5">
        <f>ROUND(Source!DJ176,O190)</f>
        <v>4114.58</v>
      </c>
      <c r="Q190" s="5"/>
      <c r="R190" s="5"/>
      <c r="S190" s="5"/>
      <c r="T190" s="5"/>
      <c r="U190" s="5"/>
      <c r="V190" s="5"/>
      <c r="W190" s="5">
        <v>110.2</v>
      </c>
      <c r="X190" s="5">
        <v>1</v>
      </c>
      <c r="Y190" s="5">
        <v>110.2</v>
      </c>
      <c r="Z190" s="5">
        <v>4114.58</v>
      </c>
      <c r="AA190" s="5">
        <v>1</v>
      </c>
      <c r="AB190" s="5">
        <v>4114.58</v>
      </c>
    </row>
    <row r="191" spans="1:28" ht="12.75">
      <c r="A191" s="5">
        <v>50</v>
      </c>
      <c r="B191" s="5">
        <v>0</v>
      </c>
      <c r="C191" s="5">
        <v>0</v>
      </c>
      <c r="D191" s="5">
        <v>1</v>
      </c>
      <c r="E191" s="5">
        <v>205</v>
      </c>
      <c r="F191" s="5">
        <f>ROUND(Source!S176,O191)</f>
        <v>3269.48</v>
      </c>
      <c r="G191" s="5" t="s">
        <v>232</v>
      </c>
      <c r="H191" s="5" t="s">
        <v>233</v>
      </c>
      <c r="I191" s="5"/>
      <c r="J191" s="5"/>
      <c r="K191" s="5">
        <v>205</v>
      </c>
      <c r="L191" s="5">
        <v>14</v>
      </c>
      <c r="M191" s="5">
        <v>3</v>
      </c>
      <c r="N191" s="5" t="s">
        <v>3</v>
      </c>
      <c r="O191" s="5">
        <v>2</v>
      </c>
      <c r="P191" s="5">
        <f>ROUND(Source!DK176,O191)</f>
        <v>122082.04</v>
      </c>
      <c r="Q191" s="5"/>
      <c r="R191" s="5"/>
      <c r="S191" s="5"/>
      <c r="T191" s="5"/>
      <c r="U191" s="5"/>
      <c r="V191" s="5"/>
      <c r="W191" s="5">
        <v>3269.48</v>
      </c>
      <c r="X191" s="5">
        <v>1</v>
      </c>
      <c r="Y191" s="5">
        <v>3269.48</v>
      </c>
      <c r="Z191" s="5">
        <v>122082.04000000001</v>
      </c>
      <c r="AA191" s="5">
        <v>1</v>
      </c>
      <c r="AB191" s="5">
        <v>122082.04000000001</v>
      </c>
    </row>
    <row r="192" spans="1:28" ht="12.75">
      <c r="A192" s="5">
        <v>50</v>
      </c>
      <c r="B192" s="5">
        <v>0</v>
      </c>
      <c r="C192" s="5">
        <v>0</v>
      </c>
      <c r="D192" s="5">
        <v>1</v>
      </c>
      <c r="E192" s="5">
        <v>232</v>
      </c>
      <c r="F192" s="5">
        <f>ROUND(Source!BC176,O192)</f>
        <v>0</v>
      </c>
      <c r="G192" s="5" t="s">
        <v>234</v>
      </c>
      <c r="H192" s="5" t="s">
        <v>235</v>
      </c>
      <c r="I192" s="5"/>
      <c r="J192" s="5"/>
      <c r="K192" s="5">
        <v>232</v>
      </c>
      <c r="L192" s="5">
        <v>15</v>
      </c>
      <c r="M192" s="5">
        <v>3</v>
      </c>
      <c r="N192" s="5" t="s">
        <v>3</v>
      </c>
      <c r="O192" s="5">
        <v>2</v>
      </c>
      <c r="P192" s="5">
        <f>ROUND(Source!EU176,O192)</f>
        <v>0</v>
      </c>
      <c r="Q192" s="5"/>
      <c r="R192" s="5"/>
      <c r="S192" s="5"/>
      <c r="T192" s="5"/>
      <c r="U192" s="5"/>
      <c r="V192" s="5"/>
      <c r="W192" s="5">
        <v>0</v>
      </c>
      <c r="X192" s="5">
        <v>1</v>
      </c>
      <c r="Y192" s="5">
        <v>0</v>
      </c>
      <c r="Z192" s="5">
        <v>0</v>
      </c>
      <c r="AA192" s="5">
        <v>1</v>
      </c>
      <c r="AB192" s="5">
        <v>0</v>
      </c>
    </row>
    <row r="193" spans="1:28" ht="12.75">
      <c r="A193" s="5">
        <v>50</v>
      </c>
      <c r="B193" s="5">
        <v>0</v>
      </c>
      <c r="C193" s="5">
        <v>0</v>
      </c>
      <c r="D193" s="5">
        <v>1</v>
      </c>
      <c r="E193" s="5">
        <v>214</v>
      </c>
      <c r="F193" s="5">
        <f>ROUND(Source!AS176,O193)</f>
        <v>1454576.08</v>
      </c>
      <c r="G193" s="5" t="s">
        <v>236</v>
      </c>
      <c r="H193" s="5" t="s">
        <v>237</v>
      </c>
      <c r="I193" s="5"/>
      <c r="J193" s="5"/>
      <c r="K193" s="5">
        <v>214</v>
      </c>
      <c r="L193" s="5">
        <v>16</v>
      </c>
      <c r="M193" s="5">
        <v>3</v>
      </c>
      <c r="N193" s="5" t="s">
        <v>3</v>
      </c>
      <c r="O193" s="5">
        <v>2</v>
      </c>
      <c r="P193" s="5">
        <f>ROUND(Source!EK176,O193)</f>
        <v>1778135.98</v>
      </c>
      <c r="Q193" s="5"/>
      <c r="R193" s="5"/>
      <c r="S193" s="5"/>
      <c r="T193" s="5"/>
      <c r="U193" s="5"/>
      <c r="V193" s="5"/>
      <c r="W193" s="5">
        <v>1454576.08</v>
      </c>
      <c r="X193" s="5">
        <v>1</v>
      </c>
      <c r="Y193" s="5">
        <v>1454576.08</v>
      </c>
      <c r="Z193" s="5">
        <v>1778135.98</v>
      </c>
      <c r="AA193" s="5">
        <v>1</v>
      </c>
      <c r="AB193" s="5">
        <v>1778135.98</v>
      </c>
    </row>
    <row r="194" spans="1:28" ht="12.75">
      <c r="A194" s="5">
        <v>50</v>
      </c>
      <c r="B194" s="5">
        <v>0</v>
      </c>
      <c r="C194" s="5">
        <v>0</v>
      </c>
      <c r="D194" s="5">
        <v>1</v>
      </c>
      <c r="E194" s="5">
        <v>215</v>
      </c>
      <c r="F194" s="5">
        <f>ROUND(Source!AT176,O194)</f>
        <v>1167997.68</v>
      </c>
      <c r="G194" s="5" t="s">
        <v>238</v>
      </c>
      <c r="H194" s="5" t="s">
        <v>239</v>
      </c>
      <c r="I194" s="5"/>
      <c r="J194" s="5"/>
      <c r="K194" s="5">
        <v>215</v>
      </c>
      <c r="L194" s="5">
        <v>17</v>
      </c>
      <c r="M194" s="5">
        <v>3</v>
      </c>
      <c r="N194" s="5" t="s">
        <v>3</v>
      </c>
      <c r="O194" s="5">
        <v>2</v>
      </c>
      <c r="P194" s="5">
        <f>ROUND(Source!EL176,O194)</f>
        <v>1185958.06</v>
      </c>
      <c r="Q194" s="5"/>
      <c r="R194" s="5"/>
      <c r="S194" s="5"/>
      <c r="T194" s="5"/>
      <c r="U194" s="5"/>
      <c r="V194" s="5"/>
      <c r="W194" s="5">
        <v>1167997.68</v>
      </c>
      <c r="X194" s="5">
        <v>1</v>
      </c>
      <c r="Y194" s="5">
        <v>1167997.68</v>
      </c>
      <c r="Z194" s="5">
        <v>1185958.06</v>
      </c>
      <c r="AA194" s="5">
        <v>1</v>
      </c>
      <c r="AB194" s="5">
        <v>1185958.06</v>
      </c>
    </row>
    <row r="195" spans="1:28" ht="12.75">
      <c r="A195" s="5">
        <v>50</v>
      </c>
      <c r="B195" s="5">
        <v>0</v>
      </c>
      <c r="C195" s="5">
        <v>0</v>
      </c>
      <c r="D195" s="5">
        <v>1</v>
      </c>
      <c r="E195" s="5">
        <v>217</v>
      </c>
      <c r="F195" s="5">
        <f>ROUND(Source!AU176,O195)</f>
        <v>0</v>
      </c>
      <c r="G195" s="5" t="s">
        <v>240</v>
      </c>
      <c r="H195" s="5" t="s">
        <v>241</v>
      </c>
      <c r="I195" s="5"/>
      <c r="J195" s="5"/>
      <c r="K195" s="5">
        <v>217</v>
      </c>
      <c r="L195" s="5">
        <v>18</v>
      </c>
      <c r="M195" s="5">
        <v>3</v>
      </c>
      <c r="N195" s="5" t="s">
        <v>3</v>
      </c>
      <c r="O195" s="5">
        <v>2</v>
      </c>
      <c r="P195" s="5">
        <f>ROUND(Source!EM176,O195)</f>
        <v>0</v>
      </c>
      <c r="Q195" s="5"/>
      <c r="R195" s="5"/>
      <c r="S195" s="5"/>
      <c r="T195" s="5"/>
      <c r="U195" s="5"/>
      <c r="V195" s="5"/>
      <c r="W195" s="5">
        <v>0</v>
      </c>
      <c r="X195" s="5">
        <v>1</v>
      </c>
      <c r="Y195" s="5">
        <v>0</v>
      </c>
      <c r="Z195" s="5">
        <v>0</v>
      </c>
      <c r="AA195" s="5">
        <v>1</v>
      </c>
      <c r="AB195" s="5">
        <v>0</v>
      </c>
    </row>
    <row r="196" spans="1:28" ht="12.75">
      <c r="A196" s="5">
        <v>50</v>
      </c>
      <c r="B196" s="5">
        <v>0</v>
      </c>
      <c r="C196" s="5">
        <v>0</v>
      </c>
      <c r="D196" s="5">
        <v>1</v>
      </c>
      <c r="E196" s="5">
        <v>230</v>
      </c>
      <c r="F196" s="5">
        <f>ROUND(Source!BA176,O196)</f>
        <v>0</v>
      </c>
      <c r="G196" s="5" t="s">
        <v>242</v>
      </c>
      <c r="H196" s="5" t="s">
        <v>243</v>
      </c>
      <c r="I196" s="5"/>
      <c r="J196" s="5"/>
      <c r="K196" s="5">
        <v>230</v>
      </c>
      <c r="L196" s="5">
        <v>19</v>
      </c>
      <c r="M196" s="5">
        <v>3</v>
      </c>
      <c r="N196" s="5" t="s">
        <v>3</v>
      </c>
      <c r="O196" s="5">
        <v>2</v>
      </c>
      <c r="P196" s="5">
        <f>ROUND(Source!ES176,O196)</f>
        <v>0</v>
      </c>
      <c r="Q196" s="5"/>
      <c r="R196" s="5"/>
      <c r="S196" s="5"/>
      <c r="T196" s="5"/>
      <c r="U196" s="5"/>
      <c r="V196" s="5"/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0</v>
      </c>
    </row>
    <row r="197" spans="1:28" ht="12.75">
      <c r="A197" s="5">
        <v>50</v>
      </c>
      <c r="B197" s="5">
        <v>0</v>
      </c>
      <c r="C197" s="5">
        <v>0</v>
      </c>
      <c r="D197" s="5">
        <v>1</v>
      </c>
      <c r="E197" s="5">
        <v>206</v>
      </c>
      <c r="F197" s="5">
        <f>ROUND(Source!T176,O197)</f>
        <v>0</v>
      </c>
      <c r="G197" s="5" t="s">
        <v>244</v>
      </c>
      <c r="H197" s="5" t="s">
        <v>245</v>
      </c>
      <c r="I197" s="5"/>
      <c r="J197" s="5"/>
      <c r="K197" s="5">
        <v>206</v>
      </c>
      <c r="L197" s="5">
        <v>20</v>
      </c>
      <c r="M197" s="5">
        <v>3</v>
      </c>
      <c r="N197" s="5" t="s">
        <v>3</v>
      </c>
      <c r="O197" s="5">
        <v>2</v>
      </c>
      <c r="P197" s="5">
        <f>ROUND(Source!DL176,O197)</f>
        <v>0</v>
      </c>
      <c r="Q197" s="5"/>
      <c r="R197" s="5"/>
      <c r="S197" s="5"/>
      <c r="T197" s="5"/>
      <c r="U197" s="5"/>
      <c r="V197" s="5"/>
      <c r="W197" s="5">
        <v>0</v>
      </c>
      <c r="X197" s="5">
        <v>1</v>
      </c>
      <c r="Y197" s="5">
        <v>0</v>
      </c>
      <c r="Z197" s="5">
        <v>0</v>
      </c>
      <c r="AA197" s="5">
        <v>1</v>
      </c>
      <c r="AB197" s="5">
        <v>0</v>
      </c>
    </row>
    <row r="198" spans="1:28" ht="12.75">
      <c r="A198" s="5">
        <v>50</v>
      </c>
      <c r="B198" s="5">
        <v>0</v>
      </c>
      <c r="C198" s="5">
        <v>0</v>
      </c>
      <c r="D198" s="5">
        <v>1</v>
      </c>
      <c r="E198" s="5">
        <v>207</v>
      </c>
      <c r="F198" s="5">
        <f>Source!U176</f>
        <v>331.60513999999995</v>
      </c>
      <c r="G198" s="5" t="s">
        <v>246</v>
      </c>
      <c r="H198" s="5" t="s">
        <v>247</v>
      </c>
      <c r="I198" s="5"/>
      <c r="J198" s="5"/>
      <c r="K198" s="5">
        <v>207</v>
      </c>
      <c r="L198" s="5">
        <v>21</v>
      </c>
      <c r="M198" s="5">
        <v>3</v>
      </c>
      <c r="N198" s="5" t="s">
        <v>3</v>
      </c>
      <c r="O198" s="5">
        <v>-1</v>
      </c>
      <c r="P198" s="5">
        <f>Source!DM176</f>
        <v>331.60513999999995</v>
      </c>
      <c r="Q198" s="5"/>
      <c r="R198" s="5"/>
      <c r="S198" s="5"/>
      <c r="T198" s="5"/>
      <c r="U198" s="5"/>
      <c r="V198" s="5"/>
      <c r="W198" s="5">
        <v>331.60514</v>
      </c>
      <c r="X198" s="5">
        <v>1</v>
      </c>
      <c r="Y198" s="5">
        <v>331.60514</v>
      </c>
      <c r="Z198" s="5">
        <v>331.60514</v>
      </c>
      <c r="AA198" s="5">
        <v>1</v>
      </c>
      <c r="AB198" s="5">
        <v>331.60514</v>
      </c>
    </row>
    <row r="199" spans="1:28" ht="12.75">
      <c r="A199" s="5">
        <v>50</v>
      </c>
      <c r="B199" s="5">
        <v>0</v>
      </c>
      <c r="C199" s="5">
        <v>0</v>
      </c>
      <c r="D199" s="5">
        <v>1</v>
      </c>
      <c r="E199" s="5">
        <v>208</v>
      </c>
      <c r="F199" s="5">
        <f>Source!V176</f>
        <v>8.718285</v>
      </c>
      <c r="G199" s="5" t="s">
        <v>248</v>
      </c>
      <c r="H199" s="5" t="s">
        <v>249</v>
      </c>
      <c r="I199" s="5"/>
      <c r="J199" s="5"/>
      <c r="K199" s="5">
        <v>208</v>
      </c>
      <c r="L199" s="5">
        <v>22</v>
      </c>
      <c r="M199" s="5">
        <v>3</v>
      </c>
      <c r="N199" s="5" t="s">
        <v>3</v>
      </c>
      <c r="O199" s="5">
        <v>-1</v>
      </c>
      <c r="P199" s="5">
        <f>Source!DN176</f>
        <v>8.718285</v>
      </c>
      <c r="Q199" s="5"/>
      <c r="R199" s="5"/>
      <c r="S199" s="5"/>
      <c r="T199" s="5"/>
      <c r="U199" s="5"/>
      <c r="V199" s="5"/>
      <c r="W199" s="5">
        <v>8.718285</v>
      </c>
      <c r="X199" s="5">
        <v>1</v>
      </c>
      <c r="Y199" s="5">
        <v>8.718285</v>
      </c>
      <c r="Z199" s="5">
        <v>8.718285</v>
      </c>
      <c r="AA199" s="5">
        <v>1</v>
      </c>
      <c r="AB199" s="5">
        <v>8.718285</v>
      </c>
    </row>
    <row r="200" spans="1:28" ht="12.75">
      <c r="A200" s="5">
        <v>50</v>
      </c>
      <c r="B200" s="5">
        <v>0</v>
      </c>
      <c r="C200" s="5">
        <v>0</v>
      </c>
      <c r="D200" s="5">
        <v>1</v>
      </c>
      <c r="E200" s="5">
        <v>209</v>
      </c>
      <c r="F200" s="5">
        <f>ROUND(Source!W176,O200)</f>
        <v>0</v>
      </c>
      <c r="G200" s="5" t="s">
        <v>250</v>
      </c>
      <c r="H200" s="5" t="s">
        <v>251</v>
      </c>
      <c r="I200" s="5"/>
      <c r="J200" s="5"/>
      <c r="K200" s="5">
        <v>209</v>
      </c>
      <c r="L200" s="5">
        <v>23</v>
      </c>
      <c r="M200" s="5">
        <v>3</v>
      </c>
      <c r="N200" s="5" t="s">
        <v>3</v>
      </c>
      <c r="O200" s="5">
        <v>2</v>
      </c>
      <c r="P200" s="5">
        <f>ROUND(Source!DO176,O200)</f>
        <v>0</v>
      </c>
      <c r="Q200" s="5"/>
      <c r="R200" s="5"/>
      <c r="S200" s="5"/>
      <c r="T200" s="5"/>
      <c r="U200" s="5"/>
      <c r="V200" s="5"/>
      <c r="W200" s="5">
        <v>0</v>
      </c>
      <c r="X200" s="5">
        <v>1</v>
      </c>
      <c r="Y200" s="5">
        <v>0</v>
      </c>
      <c r="Z200" s="5">
        <v>0</v>
      </c>
      <c r="AA200" s="5">
        <v>1</v>
      </c>
      <c r="AB200" s="5">
        <v>0</v>
      </c>
    </row>
    <row r="201" spans="1:28" ht="12.75">
      <c r="A201" s="5">
        <v>50</v>
      </c>
      <c r="B201" s="5">
        <v>0</v>
      </c>
      <c r="C201" s="5">
        <v>0</v>
      </c>
      <c r="D201" s="5">
        <v>1</v>
      </c>
      <c r="E201" s="5">
        <v>233</v>
      </c>
      <c r="F201" s="5">
        <f>ROUND(Source!BD176,O201)</f>
        <v>133.3</v>
      </c>
      <c r="G201" s="5" t="s">
        <v>252</v>
      </c>
      <c r="H201" s="5" t="s">
        <v>253</v>
      </c>
      <c r="I201" s="5"/>
      <c r="J201" s="5"/>
      <c r="K201" s="5">
        <v>233</v>
      </c>
      <c r="L201" s="5">
        <v>24</v>
      </c>
      <c r="M201" s="5">
        <v>3</v>
      </c>
      <c r="N201" s="5" t="s">
        <v>3</v>
      </c>
      <c r="O201" s="5">
        <v>2</v>
      </c>
      <c r="P201" s="5">
        <f>ROUND(Source!EV176,O201)</f>
        <v>1764.89</v>
      </c>
      <c r="Q201" s="5"/>
      <c r="R201" s="5"/>
      <c r="S201" s="5"/>
      <c r="T201" s="5"/>
      <c r="U201" s="5"/>
      <c r="V201" s="5"/>
      <c r="W201" s="5">
        <v>133.3</v>
      </c>
      <c r="X201" s="5">
        <v>1</v>
      </c>
      <c r="Y201" s="5">
        <v>133.3</v>
      </c>
      <c r="Z201" s="5">
        <v>1764.89</v>
      </c>
      <c r="AA201" s="5">
        <v>1</v>
      </c>
      <c r="AB201" s="5">
        <v>1764.89</v>
      </c>
    </row>
    <row r="202" spans="1:28" ht="12.75">
      <c r="A202" s="5">
        <v>50</v>
      </c>
      <c r="B202" s="5">
        <v>0</v>
      </c>
      <c r="C202" s="5">
        <v>0</v>
      </c>
      <c r="D202" s="5">
        <v>1</v>
      </c>
      <c r="E202" s="5">
        <v>210</v>
      </c>
      <c r="F202" s="5">
        <f>ROUND(Source!X176,O202)</f>
        <v>3162.52</v>
      </c>
      <c r="G202" s="5" t="s">
        <v>254</v>
      </c>
      <c r="H202" s="5" t="s">
        <v>255</v>
      </c>
      <c r="I202" s="5"/>
      <c r="J202" s="5"/>
      <c r="K202" s="5">
        <v>210</v>
      </c>
      <c r="L202" s="5">
        <v>25</v>
      </c>
      <c r="M202" s="5">
        <v>3</v>
      </c>
      <c r="N202" s="5" t="s">
        <v>3</v>
      </c>
      <c r="O202" s="5">
        <v>2</v>
      </c>
      <c r="P202" s="5">
        <f>ROUND(Source!DP176,O202)</f>
        <v>118087.68</v>
      </c>
      <c r="Q202" s="5"/>
      <c r="R202" s="5"/>
      <c r="S202" s="5"/>
      <c r="T202" s="5"/>
      <c r="U202" s="5"/>
      <c r="V202" s="5"/>
      <c r="W202" s="5">
        <v>3162.52</v>
      </c>
      <c r="X202" s="5">
        <v>1</v>
      </c>
      <c r="Y202" s="5">
        <v>3162.52</v>
      </c>
      <c r="Z202" s="5">
        <v>118087.68</v>
      </c>
      <c r="AA202" s="5">
        <v>1</v>
      </c>
      <c r="AB202" s="5">
        <v>118087.68</v>
      </c>
    </row>
    <row r="203" spans="1:28" ht="12.75">
      <c r="A203" s="5">
        <v>50</v>
      </c>
      <c r="B203" s="5">
        <v>0</v>
      </c>
      <c r="C203" s="5">
        <v>0</v>
      </c>
      <c r="D203" s="5">
        <v>1</v>
      </c>
      <c r="E203" s="5">
        <v>211</v>
      </c>
      <c r="F203" s="5">
        <f>ROUND(Source!Y176,O203)</f>
        <v>1878.88</v>
      </c>
      <c r="G203" s="5" t="s">
        <v>256</v>
      </c>
      <c r="H203" s="5" t="s">
        <v>257</v>
      </c>
      <c r="I203" s="5"/>
      <c r="J203" s="5"/>
      <c r="K203" s="5">
        <v>211</v>
      </c>
      <c r="L203" s="5">
        <v>26</v>
      </c>
      <c r="M203" s="5">
        <v>3</v>
      </c>
      <c r="N203" s="5" t="s">
        <v>3</v>
      </c>
      <c r="O203" s="5">
        <v>2</v>
      </c>
      <c r="P203" s="5">
        <f>ROUND(Source!DQ176,O203)</f>
        <v>70156.9</v>
      </c>
      <c r="Q203" s="5"/>
      <c r="R203" s="5"/>
      <c r="S203" s="5"/>
      <c r="T203" s="5"/>
      <c r="U203" s="5"/>
      <c r="V203" s="5"/>
      <c r="W203" s="5">
        <v>1878.88</v>
      </c>
      <c r="X203" s="5">
        <v>1</v>
      </c>
      <c r="Y203" s="5">
        <v>1878.88</v>
      </c>
      <c r="Z203" s="5">
        <v>70156.9</v>
      </c>
      <c r="AA203" s="5">
        <v>1</v>
      </c>
      <c r="AB203" s="5">
        <v>70156.9</v>
      </c>
    </row>
    <row r="204" spans="1:28" ht="12.75">
      <c r="A204" s="5">
        <v>50</v>
      </c>
      <c r="B204" s="5">
        <v>0</v>
      </c>
      <c r="C204" s="5">
        <v>0</v>
      </c>
      <c r="D204" s="5">
        <v>1</v>
      </c>
      <c r="E204" s="5">
        <v>0</v>
      </c>
      <c r="F204" s="5">
        <f>ROUND(Source!AR176,O204)</f>
        <v>2622573.76</v>
      </c>
      <c r="G204" s="5" t="s">
        <v>258</v>
      </c>
      <c r="H204" s="5" t="s">
        <v>259</v>
      </c>
      <c r="I204" s="5"/>
      <c r="J204" s="5"/>
      <c r="K204" s="5">
        <v>224</v>
      </c>
      <c r="L204" s="5">
        <v>27</v>
      </c>
      <c r="M204" s="5">
        <v>3</v>
      </c>
      <c r="N204" s="5" t="s">
        <v>3</v>
      </c>
      <c r="O204" s="5">
        <v>2</v>
      </c>
      <c r="P204" s="5">
        <f>ROUND(Source!EJ176,O204)</f>
        <v>2964094.04</v>
      </c>
      <c r="Q204" s="5"/>
      <c r="R204" s="5"/>
      <c r="S204" s="5"/>
      <c r="T204" s="5"/>
      <c r="U204" s="5"/>
      <c r="V204" s="5"/>
      <c r="W204" s="5">
        <v>2622573.76</v>
      </c>
      <c r="X204" s="5">
        <v>1</v>
      </c>
      <c r="Y204" s="5">
        <v>2622573.76</v>
      </c>
      <c r="Z204" s="5">
        <v>2964094.04</v>
      </c>
      <c r="AA204" s="5">
        <v>1</v>
      </c>
      <c r="AB204" s="5">
        <v>2964094.04</v>
      </c>
    </row>
    <row r="205" spans="1:28" ht="12.75">
      <c r="A205" s="5">
        <v>50</v>
      </c>
      <c r="B205" s="5">
        <v>1</v>
      </c>
      <c r="C205" s="5">
        <v>0</v>
      </c>
      <c r="D205" s="5">
        <v>2</v>
      </c>
      <c r="E205" s="5">
        <v>0</v>
      </c>
      <c r="F205" s="5">
        <f>ROUND(F182,O205)</f>
        <v>2613184.26</v>
      </c>
      <c r="G205" s="5" t="s">
        <v>277</v>
      </c>
      <c r="H205" s="5" t="s">
        <v>277</v>
      </c>
      <c r="I205" s="5"/>
      <c r="J205" s="5"/>
      <c r="K205" s="5">
        <v>212</v>
      </c>
      <c r="L205" s="5">
        <v>28</v>
      </c>
      <c r="M205" s="5">
        <v>0</v>
      </c>
      <c r="N205" s="5" t="s">
        <v>3</v>
      </c>
      <c r="O205" s="5">
        <v>2</v>
      </c>
      <c r="P205" s="5">
        <f>ROUND(P182,O205)</f>
        <v>2639486.28</v>
      </c>
      <c r="Q205" s="5"/>
      <c r="R205" s="5"/>
      <c r="S205" s="5"/>
      <c r="T205" s="5"/>
      <c r="U205" s="5"/>
      <c r="V205" s="5"/>
      <c r="W205" s="5">
        <v>2613184.26</v>
      </c>
      <c r="X205" s="5">
        <v>1</v>
      </c>
      <c r="Y205" s="5">
        <v>2613184.26</v>
      </c>
      <c r="Z205" s="5">
        <v>2639486.28</v>
      </c>
      <c r="AA205" s="5">
        <v>1</v>
      </c>
      <c r="AB205" s="5">
        <v>2639486.28</v>
      </c>
    </row>
    <row r="206" spans="1:28" ht="12.75">
      <c r="A206" s="5">
        <v>50</v>
      </c>
      <c r="B206" s="5">
        <v>1</v>
      </c>
      <c r="C206" s="5">
        <v>0</v>
      </c>
      <c r="D206" s="5">
        <v>2</v>
      </c>
      <c r="E206" s="5">
        <v>0</v>
      </c>
      <c r="F206" s="5">
        <f>ROUND(F204,O206)</f>
        <v>2622573.76</v>
      </c>
      <c r="G206" s="5" t="s">
        <v>278</v>
      </c>
      <c r="H206" s="5" t="s">
        <v>278</v>
      </c>
      <c r="I206" s="5"/>
      <c r="J206" s="5"/>
      <c r="K206" s="5">
        <v>212</v>
      </c>
      <c r="L206" s="5">
        <v>29</v>
      </c>
      <c r="M206" s="5">
        <v>0</v>
      </c>
      <c r="N206" s="5" t="s">
        <v>3</v>
      </c>
      <c r="O206" s="5">
        <v>2</v>
      </c>
      <c r="P206" s="5">
        <f>ROUND(P204,O206)</f>
        <v>2964094.04</v>
      </c>
      <c r="Q206" s="5"/>
      <c r="R206" s="5"/>
      <c r="S206" s="5"/>
      <c r="T206" s="5"/>
      <c r="U206" s="5"/>
      <c r="V206" s="5"/>
      <c r="W206" s="5">
        <v>2622573.76</v>
      </c>
      <c r="X206" s="5">
        <v>1</v>
      </c>
      <c r="Y206" s="5">
        <v>2622573.76</v>
      </c>
      <c r="Z206" s="5">
        <v>2964094.04</v>
      </c>
      <c r="AA206" s="5">
        <v>1</v>
      </c>
      <c r="AB206" s="5">
        <v>2964094.04</v>
      </c>
    </row>
    <row r="207" spans="1:28" ht="12.75">
      <c r="A207" s="5">
        <v>50</v>
      </c>
      <c r="B207" s="5">
        <v>1</v>
      </c>
      <c r="C207" s="5">
        <v>0</v>
      </c>
      <c r="D207" s="5">
        <v>2</v>
      </c>
      <c r="E207" s="5">
        <v>0</v>
      </c>
      <c r="F207" s="5">
        <f>ROUND(F206*0.2,O207)</f>
        <v>524514.75</v>
      </c>
      <c r="G207" s="5" t="s">
        <v>279</v>
      </c>
      <c r="H207" s="5" t="s">
        <v>280</v>
      </c>
      <c r="I207" s="5"/>
      <c r="J207" s="5"/>
      <c r="K207" s="5">
        <v>212</v>
      </c>
      <c r="L207" s="5">
        <v>32</v>
      </c>
      <c r="M207" s="5">
        <v>0</v>
      </c>
      <c r="N207" s="5" t="s">
        <v>3</v>
      </c>
      <c r="O207" s="5">
        <v>2</v>
      </c>
      <c r="P207" s="5">
        <f>ROUND(P206*0.2,O207)</f>
        <v>592818.81</v>
      </c>
      <c r="Q207" s="5"/>
      <c r="R207" s="5"/>
      <c r="S207" s="5"/>
      <c r="T207" s="5"/>
      <c r="U207" s="5"/>
      <c r="V207" s="5"/>
      <c r="W207" s="5">
        <v>524514.75</v>
      </c>
      <c r="X207" s="5">
        <v>1</v>
      </c>
      <c r="Y207" s="5">
        <v>524514.75</v>
      </c>
      <c r="Z207" s="5">
        <v>592818.81</v>
      </c>
      <c r="AA207" s="5">
        <v>1</v>
      </c>
      <c r="AB207" s="5">
        <v>592818.81</v>
      </c>
    </row>
    <row r="208" spans="1:28" ht="12.75">
      <c r="A208" s="5">
        <v>50</v>
      </c>
      <c r="B208" s="5">
        <v>1</v>
      </c>
      <c r="C208" s="5">
        <v>0</v>
      </c>
      <c r="D208" s="5">
        <v>2</v>
      </c>
      <c r="E208" s="5">
        <v>224</v>
      </c>
      <c r="F208" s="5">
        <f>ROUND(F206+F207,O208)</f>
        <v>3147088.51</v>
      </c>
      <c r="G208" s="5" t="s">
        <v>281</v>
      </c>
      <c r="H208" s="5" t="s">
        <v>282</v>
      </c>
      <c r="I208" s="5"/>
      <c r="J208" s="5"/>
      <c r="K208" s="5">
        <v>212</v>
      </c>
      <c r="L208" s="5">
        <v>33</v>
      </c>
      <c r="M208" s="5">
        <v>0</v>
      </c>
      <c r="N208" s="5" t="s">
        <v>3</v>
      </c>
      <c r="O208" s="5">
        <v>2</v>
      </c>
      <c r="P208" s="5">
        <f>ROUND(P206+P207,O208)</f>
        <v>3556912.85</v>
      </c>
      <c r="Q208" s="5"/>
      <c r="R208" s="5"/>
      <c r="S208" s="5"/>
      <c r="T208" s="5"/>
      <c r="U208" s="5"/>
      <c r="V208" s="5"/>
      <c r="W208" s="5">
        <v>3147088.51</v>
      </c>
      <c r="X208" s="5">
        <v>1</v>
      </c>
      <c r="Y208" s="5">
        <v>3147088.51</v>
      </c>
      <c r="Z208" s="5">
        <v>3556912.85</v>
      </c>
      <c r="AA208" s="5">
        <v>1</v>
      </c>
      <c r="AB208" s="5">
        <v>3556912.85</v>
      </c>
    </row>
    <row r="210" spans="1:206" ht="12.75">
      <c r="A210" s="3">
        <v>51</v>
      </c>
      <c r="B210" s="3">
        <f>B12</f>
        <v>274</v>
      </c>
      <c r="C210" s="3">
        <f>A12</f>
        <v>1</v>
      </c>
      <c r="D210" s="3">
        <f>ROW(A12)</f>
        <v>12</v>
      </c>
      <c r="E210" s="3"/>
      <c r="F210" s="3">
        <f>IF(F12&lt;&gt;"",F12,"")</f>
      </c>
      <c r="G210" s="3" t="str">
        <f>IF(G12&lt;&gt;"",G12,"")</f>
        <v>Выполнение работ по замене ограждающих конструкций стен тамбура главного входа ИПУ РАН</v>
      </c>
      <c r="H210" s="3">
        <v>0</v>
      </c>
      <c r="I210" s="3"/>
      <c r="J210" s="3"/>
      <c r="K210" s="3"/>
      <c r="L210" s="3"/>
      <c r="M210" s="3"/>
      <c r="N210" s="3"/>
      <c r="O210" s="3">
        <f aca="true" t="shared" si="163" ref="O210:T210">ROUND(O176,2)</f>
        <v>2617399.06</v>
      </c>
      <c r="P210" s="3">
        <f t="shared" si="163"/>
        <v>2613184.26</v>
      </c>
      <c r="Q210" s="3">
        <f t="shared" si="163"/>
        <v>945.32</v>
      </c>
      <c r="R210" s="3">
        <f t="shared" si="163"/>
        <v>110.2</v>
      </c>
      <c r="S210" s="3">
        <f t="shared" si="163"/>
        <v>3269.48</v>
      </c>
      <c r="T210" s="3">
        <f t="shared" si="163"/>
        <v>0</v>
      </c>
      <c r="U210" s="3">
        <f>U176</f>
        <v>331.60513999999995</v>
      </c>
      <c r="V210" s="3">
        <f>V176</f>
        <v>8.718285</v>
      </c>
      <c r="W210" s="3">
        <f>ROUND(W176,2)</f>
        <v>0</v>
      </c>
      <c r="X210" s="3">
        <f>ROUND(X176,2)</f>
        <v>3162.52</v>
      </c>
      <c r="Y210" s="3">
        <f>ROUND(Y176,2)</f>
        <v>1878.88</v>
      </c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>
        <f aca="true" t="shared" si="164" ref="AO210:BD210">ROUND(AO176,2)</f>
        <v>0</v>
      </c>
      <c r="AP210" s="3">
        <f t="shared" si="164"/>
        <v>0</v>
      </c>
      <c r="AQ210" s="3">
        <f t="shared" si="164"/>
        <v>0</v>
      </c>
      <c r="AR210" s="3">
        <f t="shared" si="164"/>
        <v>2622573.76</v>
      </c>
      <c r="AS210" s="3">
        <f t="shared" si="164"/>
        <v>1454576.08</v>
      </c>
      <c r="AT210" s="3">
        <f t="shared" si="164"/>
        <v>1167997.68</v>
      </c>
      <c r="AU210" s="3">
        <f t="shared" si="164"/>
        <v>0</v>
      </c>
      <c r="AV210" s="3">
        <f t="shared" si="164"/>
        <v>2613184.26</v>
      </c>
      <c r="AW210" s="3">
        <f t="shared" si="164"/>
        <v>2613184.26</v>
      </c>
      <c r="AX210" s="3">
        <f t="shared" si="164"/>
        <v>0</v>
      </c>
      <c r="AY210" s="3">
        <f t="shared" si="164"/>
        <v>2613184.26</v>
      </c>
      <c r="AZ210" s="3">
        <f t="shared" si="164"/>
        <v>0</v>
      </c>
      <c r="BA210" s="3">
        <f t="shared" si="164"/>
        <v>0</v>
      </c>
      <c r="BB210" s="3">
        <f t="shared" si="164"/>
        <v>0</v>
      </c>
      <c r="BC210" s="3">
        <f t="shared" si="164"/>
        <v>0</v>
      </c>
      <c r="BD210" s="3">
        <f t="shared" si="164"/>
        <v>133.3</v>
      </c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4">
        <f aca="true" t="shared" si="165" ref="DG210:DL210">ROUND(DG176,2)</f>
        <v>2774084.57</v>
      </c>
      <c r="DH210" s="4">
        <f t="shared" si="165"/>
        <v>2639486.28</v>
      </c>
      <c r="DI210" s="4">
        <f t="shared" si="165"/>
        <v>12516.25</v>
      </c>
      <c r="DJ210" s="4">
        <f t="shared" si="165"/>
        <v>4114.58</v>
      </c>
      <c r="DK210" s="4">
        <f t="shared" si="165"/>
        <v>122082.04</v>
      </c>
      <c r="DL210" s="4">
        <f t="shared" si="165"/>
        <v>0</v>
      </c>
      <c r="DM210" s="4">
        <f>DM176</f>
        <v>331.60513999999995</v>
      </c>
      <c r="DN210" s="4">
        <f>DN176</f>
        <v>8.718285</v>
      </c>
      <c r="DO210" s="4">
        <f>ROUND(DO176,2)</f>
        <v>0</v>
      </c>
      <c r="DP210" s="4">
        <f>ROUND(DP176,2)</f>
        <v>118087.68</v>
      </c>
      <c r="DQ210" s="4">
        <f>ROUND(DQ176,2)</f>
        <v>70156.9</v>
      </c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>
        <f aca="true" t="shared" si="166" ref="EG210:EV210">ROUND(EG176,2)</f>
        <v>0</v>
      </c>
      <c r="EH210" s="4">
        <f t="shared" si="166"/>
        <v>0</v>
      </c>
      <c r="EI210" s="4">
        <f t="shared" si="166"/>
        <v>0</v>
      </c>
      <c r="EJ210" s="4">
        <f t="shared" si="166"/>
        <v>2964094.04</v>
      </c>
      <c r="EK210" s="4">
        <f t="shared" si="166"/>
        <v>1778135.98</v>
      </c>
      <c r="EL210" s="4">
        <f t="shared" si="166"/>
        <v>1185958.06</v>
      </c>
      <c r="EM210" s="4">
        <f t="shared" si="166"/>
        <v>0</v>
      </c>
      <c r="EN210" s="4">
        <f t="shared" si="166"/>
        <v>2639486.28</v>
      </c>
      <c r="EO210" s="4">
        <f t="shared" si="166"/>
        <v>2639486.28</v>
      </c>
      <c r="EP210" s="4">
        <f t="shared" si="166"/>
        <v>0</v>
      </c>
      <c r="EQ210" s="4">
        <f t="shared" si="166"/>
        <v>2639486.28</v>
      </c>
      <c r="ER210" s="4">
        <f t="shared" si="166"/>
        <v>0</v>
      </c>
      <c r="ES210" s="4">
        <f t="shared" si="166"/>
        <v>0</v>
      </c>
      <c r="ET210" s="4">
        <f t="shared" si="166"/>
        <v>0</v>
      </c>
      <c r="EU210" s="4">
        <f t="shared" si="166"/>
        <v>0</v>
      </c>
      <c r="EV210" s="4">
        <f t="shared" si="166"/>
        <v>1764.89</v>
      </c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>
        <v>0</v>
      </c>
    </row>
    <row r="212" spans="1:28" ht="12.75">
      <c r="A212" s="5">
        <v>50</v>
      </c>
      <c r="B212" s="5">
        <v>0</v>
      </c>
      <c r="C212" s="5">
        <v>0</v>
      </c>
      <c r="D212" s="5">
        <v>1</v>
      </c>
      <c r="E212" s="5">
        <v>201</v>
      </c>
      <c r="F212" s="5">
        <f>ROUND(Source!O210,O212)</f>
        <v>2617399.06</v>
      </c>
      <c r="G212" s="5" t="s">
        <v>206</v>
      </c>
      <c r="H212" s="5" t="s">
        <v>207</v>
      </c>
      <c r="I212" s="5"/>
      <c r="J212" s="5"/>
      <c r="K212" s="5">
        <v>201</v>
      </c>
      <c r="L212" s="5">
        <v>1</v>
      </c>
      <c r="M212" s="5">
        <v>3</v>
      </c>
      <c r="N212" s="5" t="s">
        <v>3</v>
      </c>
      <c r="O212" s="5">
        <v>2</v>
      </c>
      <c r="P212" s="5">
        <f>ROUND(Source!DG210,O212)</f>
        <v>2774084.57</v>
      </c>
      <c r="Q212" s="5"/>
      <c r="R212" s="5"/>
      <c r="S212" s="5"/>
      <c r="T212" s="5"/>
      <c r="U212" s="5"/>
      <c r="V212" s="5"/>
      <c r="W212" s="5">
        <v>2617532.36</v>
      </c>
      <c r="X212" s="5">
        <v>1</v>
      </c>
      <c r="Y212" s="5">
        <v>2617532.36</v>
      </c>
      <c r="Z212" s="5">
        <v>2775849.46</v>
      </c>
      <c r="AA212" s="5">
        <v>1</v>
      </c>
      <c r="AB212" s="5">
        <v>2775849.46</v>
      </c>
    </row>
    <row r="213" spans="1:28" ht="12.75">
      <c r="A213" s="5">
        <v>50</v>
      </c>
      <c r="B213" s="5">
        <v>0</v>
      </c>
      <c r="C213" s="5">
        <v>0</v>
      </c>
      <c r="D213" s="5">
        <v>1</v>
      </c>
      <c r="E213" s="5">
        <v>202</v>
      </c>
      <c r="F213" s="5">
        <f>ROUND(Source!P210,O213)</f>
        <v>2613184.26</v>
      </c>
      <c r="G213" s="5" t="s">
        <v>208</v>
      </c>
      <c r="H213" s="5" t="s">
        <v>209</v>
      </c>
      <c r="I213" s="5"/>
      <c r="J213" s="5"/>
      <c r="K213" s="5">
        <v>202</v>
      </c>
      <c r="L213" s="5">
        <v>2</v>
      </c>
      <c r="M213" s="5">
        <v>3</v>
      </c>
      <c r="N213" s="5" t="s">
        <v>3</v>
      </c>
      <c r="O213" s="5">
        <v>2</v>
      </c>
      <c r="P213" s="5">
        <f>ROUND(Source!DH210,O213)</f>
        <v>2639486.28</v>
      </c>
      <c r="Q213" s="5"/>
      <c r="R213" s="5"/>
      <c r="S213" s="5"/>
      <c r="T213" s="5"/>
      <c r="U213" s="5"/>
      <c r="V213" s="5"/>
      <c r="W213" s="5">
        <v>2613184.26</v>
      </c>
      <c r="X213" s="5">
        <v>1</v>
      </c>
      <c r="Y213" s="5">
        <v>2613184.26</v>
      </c>
      <c r="Z213" s="5">
        <v>2639486.28</v>
      </c>
      <c r="AA213" s="5">
        <v>1</v>
      </c>
      <c r="AB213" s="5">
        <v>2639486.28</v>
      </c>
    </row>
    <row r="214" spans="1:28" ht="12.75">
      <c r="A214" s="5">
        <v>50</v>
      </c>
      <c r="B214" s="5">
        <v>0</v>
      </c>
      <c r="C214" s="5">
        <v>0</v>
      </c>
      <c r="D214" s="5">
        <v>1</v>
      </c>
      <c r="E214" s="5">
        <v>222</v>
      </c>
      <c r="F214" s="5">
        <f>ROUND(Source!AO210,O214)</f>
        <v>0</v>
      </c>
      <c r="G214" s="5" t="s">
        <v>210</v>
      </c>
      <c r="H214" s="5" t="s">
        <v>211</v>
      </c>
      <c r="I214" s="5"/>
      <c r="J214" s="5"/>
      <c r="K214" s="5">
        <v>222</v>
      </c>
      <c r="L214" s="5">
        <v>3</v>
      </c>
      <c r="M214" s="5">
        <v>3</v>
      </c>
      <c r="N214" s="5" t="s">
        <v>3</v>
      </c>
      <c r="O214" s="5">
        <v>2</v>
      </c>
      <c r="P214" s="5">
        <f>ROUND(Source!EG210,O214)</f>
        <v>0</v>
      </c>
      <c r="Q214" s="5"/>
      <c r="R214" s="5"/>
      <c r="S214" s="5"/>
      <c r="T214" s="5"/>
      <c r="U214" s="5"/>
      <c r="V214" s="5"/>
      <c r="W214" s="5">
        <v>0</v>
      </c>
      <c r="X214" s="5">
        <v>1</v>
      </c>
      <c r="Y214" s="5">
        <v>0</v>
      </c>
      <c r="Z214" s="5">
        <v>0</v>
      </c>
      <c r="AA214" s="5">
        <v>1</v>
      </c>
      <c r="AB214" s="5">
        <v>0</v>
      </c>
    </row>
    <row r="215" spans="1:28" ht="12.75">
      <c r="A215" s="5">
        <v>50</v>
      </c>
      <c r="B215" s="5">
        <v>0</v>
      </c>
      <c r="C215" s="5">
        <v>0</v>
      </c>
      <c r="D215" s="5">
        <v>1</v>
      </c>
      <c r="E215" s="5">
        <v>225</v>
      </c>
      <c r="F215" s="5">
        <f>ROUND(Source!AV210,O215)</f>
        <v>2613184.26</v>
      </c>
      <c r="G215" s="5" t="s">
        <v>212</v>
      </c>
      <c r="H215" s="5" t="s">
        <v>213</v>
      </c>
      <c r="I215" s="5"/>
      <c r="J215" s="5"/>
      <c r="K215" s="5">
        <v>225</v>
      </c>
      <c r="L215" s="5">
        <v>4</v>
      </c>
      <c r="M215" s="5">
        <v>3</v>
      </c>
      <c r="N215" s="5" t="s">
        <v>3</v>
      </c>
      <c r="O215" s="5">
        <v>2</v>
      </c>
      <c r="P215" s="5">
        <f>ROUND(Source!EN210,O215)</f>
        <v>2639486.28</v>
      </c>
      <c r="Q215" s="5"/>
      <c r="R215" s="5"/>
      <c r="S215" s="5"/>
      <c r="T215" s="5"/>
      <c r="U215" s="5"/>
      <c r="V215" s="5"/>
      <c r="W215" s="5">
        <v>2613184.26</v>
      </c>
      <c r="X215" s="5">
        <v>1</v>
      </c>
      <c r="Y215" s="5">
        <v>2613184.26</v>
      </c>
      <c r="Z215" s="5">
        <v>2639486.28</v>
      </c>
      <c r="AA215" s="5">
        <v>1</v>
      </c>
      <c r="AB215" s="5">
        <v>2639486.28</v>
      </c>
    </row>
    <row r="216" spans="1:28" ht="12.75">
      <c r="A216" s="5">
        <v>50</v>
      </c>
      <c r="B216" s="5">
        <v>0</v>
      </c>
      <c r="C216" s="5">
        <v>0</v>
      </c>
      <c r="D216" s="5">
        <v>1</v>
      </c>
      <c r="E216" s="5">
        <v>226</v>
      </c>
      <c r="F216" s="5">
        <f>ROUND(Source!AW210,O216)</f>
        <v>2613184.26</v>
      </c>
      <c r="G216" s="5" t="s">
        <v>214</v>
      </c>
      <c r="H216" s="5" t="s">
        <v>215</v>
      </c>
      <c r="I216" s="5"/>
      <c r="J216" s="5"/>
      <c r="K216" s="5">
        <v>226</v>
      </c>
      <c r="L216" s="5">
        <v>5</v>
      </c>
      <c r="M216" s="5">
        <v>3</v>
      </c>
      <c r="N216" s="5" t="s">
        <v>3</v>
      </c>
      <c r="O216" s="5">
        <v>2</v>
      </c>
      <c r="P216" s="5">
        <f>ROUND(Source!EO210,O216)</f>
        <v>2639486.28</v>
      </c>
      <c r="Q216" s="5"/>
      <c r="R216" s="5"/>
      <c r="S216" s="5"/>
      <c r="T216" s="5"/>
      <c r="U216" s="5"/>
      <c r="V216" s="5"/>
      <c r="W216" s="5">
        <v>2613184.26</v>
      </c>
      <c r="X216" s="5">
        <v>1</v>
      </c>
      <c r="Y216" s="5">
        <v>2613184.26</v>
      </c>
      <c r="Z216" s="5">
        <v>2639486.28</v>
      </c>
      <c r="AA216" s="5">
        <v>1</v>
      </c>
      <c r="AB216" s="5">
        <v>2639486.28</v>
      </c>
    </row>
    <row r="217" spans="1:28" ht="12.75">
      <c r="A217" s="5">
        <v>50</v>
      </c>
      <c r="B217" s="5">
        <v>0</v>
      </c>
      <c r="C217" s="5">
        <v>0</v>
      </c>
      <c r="D217" s="5">
        <v>1</v>
      </c>
      <c r="E217" s="5">
        <v>227</v>
      </c>
      <c r="F217" s="5">
        <f>ROUND(Source!AX210,O217)</f>
        <v>0</v>
      </c>
      <c r="G217" s="5" t="s">
        <v>216</v>
      </c>
      <c r="H217" s="5" t="s">
        <v>217</v>
      </c>
      <c r="I217" s="5"/>
      <c r="J217" s="5"/>
      <c r="K217" s="5">
        <v>227</v>
      </c>
      <c r="L217" s="5">
        <v>6</v>
      </c>
      <c r="M217" s="5">
        <v>3</v>
      </c>
      <c r="N217" s="5" t="s">
        <v>3</v>
      </c>
      <c r="O217" s="5">
        <v>2</v>
      </c>
      <c r="P217" s="5">
        <f>ROUND(Source!EP210,O217)</f>
        <v>0</v>
      </c>
      <c r="Q217" s="5"/>
      <c r="R217" s="5"/>
      <c r="S217" s="5"/>
      <c r="T217" s="5"/>
      <c r="U217" s="5"/>
      <c r="V217" s="5"/>
      <c r="W217" s="5">
        <v>0</v>
      </c>
      <c r="X217" s="5">
        <v>1</v>
      </c>
      <c r="Y217" s="5">
        <v>0</v>
      </c>
      <c r="Z217" s="5">
        <v>0</v>
      </c>
      <c r="AA217" s="5">
        <v>1</v>
      </c>
      <c r="AB217" s="5">
        <v>0</v>
      </c>
    </row>
    <row r="218" spans="1:28" ht="12.75">
      <c r="A218" s="5">
        <v>50</v>
      </c>
      <c r="B218" s="5">
        <v>1</v>
      </c>
      <c r="C218" s="5">
        <v>0</v>
      </c>
      <c r="D218" s="5">
        <v>1</v>
      </c>
      <c r="E218" s="5">
        <v>228</v>
      </c>
      <c r="F218" s="5">
        <f>ROUND(Source!AY210,O218)</f>
        <v>2613184.26</v>
      </c>
      <c r="G218" s="5" t="s">
        <v>218</v>
      </c>
      <c r="H218" s="5" t="s">
        <v>219</v>
      </c>
      <c r="I218" s="5"/>
      <c r="J218" s="5"/>
      <c r="K218" s="5">
        <v>228</v>
      </c>
      <c r="L218" s="5">
        <v>7</v>
      </c>
      <c r="M218" s="5">
        <v>0</v>
      </c>
      <c r="N218" s="5" t="s">
        <v>3</v>
      </c>
      <c r="O218" s="5">
        <v>2</v>
      </c>
      <c r="P218" s="5">
        <f>ROUND(Source!EQ210,O218)</f>
        <v>2639486.28</v>
      </c>
      <c r="Q218" s="5"/>
      <c r="R218" s="5"/>
      <c r="S218" s="5"/>
      <c r="T218" s="5"/>
      <c r="U218" s="5"/>
      <c r="V218" s="5"/>
      <c r="W218" s="5">
        <v>2613184.26</v>
      </c>
      <c r="X218" s="5">
        <v>1</v>
      </c>
      <c r="Y218" s="5">
        <v>2613184.26</v>
      </c>
      <c r="Z218" s="5">
        <v>2639486.28</v>
      </c>
      <c r="AA218" s="5">
        <v>1</v>
      </c>
      <c r="AB218" s="5">
        <v>2639486.28</v>
      </c>
    </row>
    <row r="219" spans="1:28" ht="12.75">
      <c r="A219" s="5">
        <v>50</v>
      </c>
      <c r="B219" s="5">
        <v>0</v>
      </c>
      <c r="C219" s="5">
        <v>0</v>
      </c>
      <c r="D219" s="5">
        <v>1</v>
      </c>
      <c r="E219" s="5">
        <v>216</v>
      </c>
      <c r="F219" s="5">
        <f>ROUND(Source!AP210,O219)</f>
        <v>0</v>
      </c>
      <c r="G219" s="5" t="s">
        <v>220</v>
      </c>
      <c r="H219" s="5" t="s">
        <v>221</v>
      </c>
      <c r="I219" s="5"/>
      <c r="J219" s="5"/>
      <c r="K219" s="5">
        <v>216</v>
      </c>
      <c r="L219" s="5">
        <v>8</v>
      </c>
      <c r="M219" s="5">
        <v>3</v>
      </c>
      <c r="N219" s="5" t="s">
        <v>3</v>
      </c>
      <c r="O219" s="5">
        <v>2</v>
      </c>
      <c r="P219" s="5">
        <f>ROUND(Source!EH210,O219)</f>
        <v>0</v>
      </c>
      <c r="Q219" s="5"/>
      <c r="R219" s="5"/>
      <c r="S219" s="5"/>
      <c r="T219" s="5"/>
      <c r="U219" s="5"/>
      <c r="V219" s="5"/>
      <c r="W219" s="5">
        <v>0</v>
      </c>
      <c r="X219" s="5">
        <v>1</v>
      </c>
      <c r="Y219" s="5">
        <v>0</v>
      </c>
      <c r="Z219" s="5">
        <v>0</v>
      </c>
      <c r="AA219" s="5">
        <v>1</v>
      </c>
      <c r="AB219" s="5">
        <v>0</v>
      </c>
    </row>
    <row r="220" spans="1:28" ht="12.75">
      <c r="A220" s="5">
        <v>50</v>
      </c>
      <c r="B220" s="5">
        <v>0</v>
      </c>
      <c r="C220" s="5">
        <v>0</v>
      </c>
      <c r="D220" s="5">
        <v>1</v>
      </c>
      <c r="E220" s="5">
        <v>223</v>
      </c>
      <c r="F220" s="5">
        <f>ROUND(Source!AQ210,O220)</f>
        <v>0</v>
      </c>
      <c r="G220" s="5" t="s">
        <v>222</v>
      </c>
      <c r="H220" s="5" t="s">
        <v>223</v>
      </c>
      <c r="I220" s="5"/>
      <c r="J220" s="5"/>
      <c r="K220" s="5">
        <v>223</v>
      </c>
      <c r="L220" s="5">
        <v>9</v>
      </c>
      <c r="M220" s="5">
        <v>3</v>
      </c>
      <c r="N220" s="5" t="s">
        <v>3</v>
      </c>
      <c r="O220" s="5">
        <v>2</v>
      </c>
      <c r="P220" s="5">
        <f>ROUND(Source!EI210,O220)</f>
        <v>0</v>
      </c>
      <c r="Q220" s="5"/>
      <c r="R220" s="5"/>
      <c r="S220" s="5"/>
      <c r="T220" s="5"/>
      <c r="U220" s="5"/>
      <c r="V220" s="5"/>
      <c r="W220" s="5">
        <v>0</v>
      </c>
      <c r="X220" s="5">
        <v>1</v>
      </c>
      <c r="Y220" s="5">
        <v>0</v>
      </c>
      <c r="Z220" s="5">
        <v>0</v>
      </c>
      <c r="AA220" s="5">
        <v>1</v>
      </c>
      <c r="AB220" s="5">
        <v>0</v>
      </c>
    </row>
    <row r="221" spans="1:28" ht="12.75">
      <c r="A221" s="5">
        <v>50</v>
      </c>
      <c r="B221" s="5">
        <v>0</v>
      </c>
      <c r="C221" s="5">
        <v>0</v>
      </c>
      <c r="D221" s="5">
        <v>1</v>
      </c>
      <c r="E221" s="5">
        <v>229</v>
      </c>
      <c r="F221" s="5">
        <f>ROUND(Source!AZ210,O221)</f>
        <v>0</v>
      </c>
      <c r="G221" s="5" t="s">
        <v>224</v>
      </c>
      <c r="H221" s="5" t="s">
        <v>225</v>
      </c>
      <c r="I221" s="5"/>
      <c r="J221" s="5"/>
      <c r="K221" s="5">
        <v>229</v>
      </c>
      <c r="L221" s="5">
        <v>10</v>
      </c>
      <c r="M221" s="5">
        <v>3</v>
      </c>
      <c r="N221" s="5" t="s">
        <v>3</v>
      </c>
      <c r="O221" s="5">
        <v>2</v>
      </c>
      <c r="P221" s="5">
        <f>ROUND(Source!ER210,O221)</f>
        <v>0</v>
      </c>
      <c r="Q221" s="5"/>
      <c r="R221" s="5"/>
      <c r="S221" s="5"/>
      <c r="T221" s="5"/>
      <c r="U221" s="5"/>
      <c r="V221" s="5"/>
      <c r="W221" s="5">
        <v>0</v>
      </c>
      <c r="X221" s="5">
        <v>1</v>
      </c>
      <c r="Y221" s="5">
        <v>0</v>
      </c>
      <c r="Z221" s="5">
        <v>0</v>
      </c>
      <c r="AA221" s="5">
        <v>1</v>
      </c>
      <c r="AB221" s="5">
        <v>0</v>
      </c>
    </row>
    <row r="222" spans="1:28" ht="12.75">
      <c r="A222" s="5">
        <v>50</v>
      </c>
      <c r="B222" s="5">
        <v>0</v>
      </c>
      <c r="C222" s="5">
        <v>0</v>
      </c>
      <c r="D222" s="5">
        <v>1</v>
      </c>
      <c r="E222" s="5">
        <v>203</v>
      </c>
      <c r="F222" s="5">
        <f>ROUND(Source!Q210,O222)</f>
        <v>945.32</v>
      </c>
      <c r="G222" s="5" t="s">
        <v>226</v>
      </c>
      <c r="H222" s="5" t="s">
        <v>227</v>
      </c>
      <c r="I222" s="5"/>
      <c r="J222" s="5"/>
      <c r="K222" s="5">
        <v>203</v>
      </c>
      <c r="L222" s="5">
        <v>11</v>
      </c>
      <c r="M222" s="5">
        <v>3</v>
      </c>
      <c r="N222" s="5" t="s">
        <v>3</v>
      </c>
      <c r="O222" s="5">
        <v>2</v>
      </c>
      <c r="P222" s="5">
        <f>ROUND(Source!DI210,O222)</f>
        <v>12516.25</v>
      </c>
      <c r="Q222" s="5"/>
      <c r="R222" s="5"/>
      <c r="S222" s="5"/>
      <c r="T222" s="5"/>
      <c r="U222" s="5"/>
      <c r="V222" s="5"/>
      <c r="W222" s="5">
        <v>945.32</v>
      </c>
      <c r="X222" s="5">
        <v>1</v>
      </c>
      <c r="Y222" s="5">
        <v>945.32</v>
      </c>
      <c r="Z222" s="5">
        <v>12516.25</v>
      </c>
      <c r="AA222" s="5">
        <v>1</v>
      </c>
      <c r="AB222" s="5">
        <v>12516.25</v>
      </c>
    </row>
    <row r="223" spans="1:28" ht="12.75">
      <c r="A223" s="5">
        <v>50</v>
      </c>
      <c r="B223" s="5">
        <v>0</v>
      </c>
      <c r="C223" s="5">
        <v>0</v>
      </c>
      <c r="D223" s="5">
        <v>1</v>
      </c>
      <c r="E223" s="5">
        <v>231</v>
      </c>
      <c r="F223" s="5">
        <f>ROUND(Source!BB210,O223)</f>
        <v>0</v>
      </c>
      <c r="G223" s="5" t="s">
        <v>228</v>
      </c>
      <c r="H223" s="5" t="s">
        <v>229</v>
      </c>
      <c r="I223" s="5"/>
      <c r="J223" s="5"/>
      <c r="K223" s="5">
        <v>231</v>
      </c>
      <c r="L223" s="5">
        <v>12</v>
      </c>
      <c r="M223" s="5">
        <v>3</v>
      </c>
      <c r="N223" s="5" t="s">
        <v>3</v>
      </c>
      <c r="O223" s="5">
        <v>2</v>
      </c>
      <c r="P223" s="5">
        <f>ROUND(Source!ET210,O223)</f>
        <v>0</v>
      </c>
      <c r="Q223" s="5"/>
      <c r="R223" s="5"/>
      <c r="S223" s="5"/>
      <c r="T223" s="5"/>
      <c r="U223" s="5"/>
      <c r="V223" s="5"/>
      <c r="W223" s="5">
        <v>0</v>
      </c>
      <c r="X223" s="5">
        <v>1</v>
      </c>
      <c r="Y223" s="5">
        <v>0</v>
      </c>
      <c r="Z223" s="5">
        <v>0</v>
      </c>
      <c r="AA223" s="5">
        <v>1</v>
      </c>
      <c r="AB223" s="5">
        <v>0</v>
      </c>
    </row>
    <row r="224" spans="1:28" ht="12.75">
      <c r="A224" s="5">
        <v>50</v>
      </c>
      <c r="B224" s="5">
        <v>0</v>
      </c>
      <c r="C224" s="5">
        <v>0</v>
      </c>
      <c r="D224" s="5">
        <v>1</v>
      </c>
      <c r="E224" s="5">
        <v>204</v>
      </c>
      <c r="F224" s="5">
        <f>ROUND(Source!R210,O224)</f>
        <v>110.2</v>
      </c>
      <c r="G224" s="5" t="s">
        <v>230</v>
      </c>
      <c r="H224" s="5" t="s">
        <v>231</v>
      </c>
      <c r="I224" s="5"/>
      <c r="J224" s="5"/>
      <c r="K224" s="5">
        <v>204</v>
      </c>
      <c r="L224" s="5">
        <v>13</v>
      </c>
      <c r="M224" s="5">
        <v>3</v>
      </c>
      <c r="N224" s="5" t="s">
        <v>3</v>
      </c>
      <c r="O224" s="5">
        <v>2</v>
      </c>
      <c r="P224" s="5">
        <f>ROUND(Source!DJ210,O224)</f>
        <v>4114.58</v>
      </c>
      <c r="Q224" s="5"/>
      <c r="R224" s="5"/>
      <c r="S224" s="5"/>
      <c r="T224" s="5"/>
      <c r="U224" s="5"/>
      <c r="V224" s="5"/>
      <c r="W224" s="5">
        <v>110.2</v>
      </c>
      <c r="X224" s="5">
        <v>1</v>
      </c>
      <c r="Y224" s="5">
        <v>110.2</v>
      </c>
      <c r="Z224" s="5">
        <v>4114.58</v>
      </c>
      <c r="AA224" s="5">
        <v>1</v>
      </c>
      <c r="AB224" s="5">
        <v>4114.58</v>
      </c>
    </row>
    <row r="225" spans="1:28" ht="12.75">
      <c r="A225" s="5">
        <v>50</v>
      </c>
      <c r="B225" s="5">
        <v>0</v>
      </c>
      <c r="C225" s="5">
        <v>0</v>
      </c>
      <c r="D225" s="5">
        <v>1</v>
      </c>
      <c r="E225" s="5">
        <v>205</v>
      </c>
      <c r="F225" s="5">
        <f>ROUND(Source!S210,O225)</f>
        <v>3269.48</v>
      </c>
      <c r="G225" s="5" t="s">
        <v>232</v>
      </c>
      <c r="H225" s="5" t="s">
        <v>233</v>
      </c>
      <c r="I225" s="5"/>
      <c r="J225" s="5"/>
      <c r="K225" s="5">
        <v>205</v>
      </c>
      <c r="L225" s="5">
        <v>14</v>
      </c>
      <c r="M225" s="5">
        <v>3</v>
      </c>
      <c r="N225" s="5" t="s">
        <v>3</v>
      </c>
      <c r="O225" s="5">
        <v>2</v>
      </c>
      <c r="P225" s="5">
        <f>ROUND(Source!DK210,O225)</f>
        <v>122082.04</v>
      </c>
      <c r="Q225" s="5"/>
      <c r="R225" s="5"/>
      <c r="S225" s="5"/>
      <c r="T225" s="5"/>
      <c r="U225" s="5"/>
      <c r="V225" s="5"/>
      <c r="W225" s="5">
        <v>3269.48</v>
      </c>
      <c r="X225" s="5">
        <v>1</v>
      </c>
      <c r="Y225" s="5">
        <v>3269.48</v>
      </c>
      <c r="Z225" s="5">
        <v>122082.04000000001</v>
      </c>
      <c r="AA225" s="5">
        <v>1</v>
      </c>
      <c r="AB225" s="5">
        <v>122082.04000000001</v>
      </c>
    </row>
    <row r="226" spans="1:28" ht="12.75">
      <c r="A226" s="5">
        <v>50</v>
      </c>
      <c r="B226" s="5">
        <v>0</v>
      </c>
      <c r="C226" s="5">
        <v>0</v>
      </c>
      <c r="D226" s="5">
        <v>1</v>
      </c>
      <c r="E226" s="5">
        <v>232</v>
      </c>
      <c r="F226" s="5">
        <f>ROUND(Source!BC210,O226)</f>
        <v>0</v>
      </c>
      <c r="G226" s="5" t="s">
        <v>234</v>
      </c>
      <c r="H226" s="5" t="s">
        <v>235</v>
      </c>
      <c r="I226" s="5"/>
      <c r="J226" s="5"/>
      <c r="K226" s="5">
        <v>232</v>
      </c>
      <c r="L226" s="5">
        <v>15</v>
      </c>
      <c r="M226" s="5">
        <v>3</v>
      </c>
      <c r="N226" s="5" t="s">
        <v>3</v>
      </c>
      <c r="O226" s="5">
        <v>2</v>
      </c>
      <c r="P226" s="5">
        <f>ROUND(Source!EU210,O226)</f>
        <v>0</v>
      </c>
      <c r="Q226" s="5"/>
      <c r="R226" s="5"/>
      <c r="S226" s="5"/>
      <c r="T226" s="5"/>
      <c r="U226" s="5"/>
      <c r="V226" s="5"/>
      <c r="W226" s="5">
        <v>0</v>
      </c>
      <c r="X226" s="5">
        <v>1</v>
      </c>
      <c r="Y226" s="5">
        <v>0</v>
      </c>
      <c r="Z226" s="5">
        <v>0</v>
      </c>
      <c r="AA226" s="5">
        <v>1</v>
      </c>
      <c r="AB226" s="5">
        <v>0</v>
      </c>
    </row>
    <row r="227" spans="1:28" ht="12.75">
      <c r="A227" s="5">
        <v>50</v>
      </c>
      <c r="B227" s="5">
        <v>0</v>
      </c>
      <c r="C227" s="5">
        <v>0</v>
      </c>
      <c r="D227" s="5">
        <v>1</v>
      </c>
      <c r="E227" s="5">
        <v>214</v>
      </c>
      <c r="F227" s="5">
        <f>ROUND(Source!AS210,O227)</f>
        <v>1454576.08</v>
      </c>
      <c r="G227" s="5" t="s">
        <v>236</v>
      </c>
      <c r="H227" s="5" t="s">
        <v>237</v>
      </c>
      <c r="I227" s="5"/>
      <c r="J227" s="5"/>
      <c r="K227" s="5">
        <v>214</v>
      </c>
      <c r="L227" s="5">
        <v>16</v>
      </c>
      <c r="M227" s="5">
        <v>3</v>
      </c>
      <c r="N227" s="5" t="s">
        <v>3</v>
      </c>
      <c r="O227" s="5">
        <v>2</v>
      </c>
      <c r="P227" s="5">
        <f>ROUND(Source!EK210,O227)</f>
        <v>1778135.98</v>
      </c>
      <c r="Q227" s="5"/>
      <c r="R227" s="5"/>
      <c r="S227" s="5"/>
      <c r="T227" s="5"/>
      <c r="U227" s="5"/>
      <c r="V227" s="5"/>
      <c r="W227" s="5">
        <v>1454576.08</v>
      </c>
      <c r="X227" s="5">
        <v>1</v>
      </c>
      <c r="Y227" s="5">
        <v>1454576.08</v>
      </c>
      <c r="Z227" s="5">
        <v>1778135.98</v>
      </c>
      <c r="AA227" s="5">
        <v>1</v>
      </c>
      <c r="AB227" s="5">
        <v>1778135.98</v>
      </c>
    </row>
    <row r="228" spans="1:28" ht="12.75">
      <c r="A228" s="5">
        <v>50</v>
      </c>
      <c r="B228" s="5">
        <v>0</v>
      </c>
      <c r="C228" s="5">
        <v>0</v>
      </c>
      <c r="D228" s="5">
        <v>1</v>
      </c>
      <c r="E228" s="5">
        <v>215</v>
      </c>
      <c r="F228" s="5">
        <f>ROUND(Source!AT210,O228)</f>
        <v>1167997.68</v>
      </c>
      <c r="G228" s="5" t="s">
        <v>238</v>
      </c>
      <c r="H228" s="5" t="s">
        <v>239</v>
      </c>
      <c r="I228" s="5"/>
      <c r="J228" s="5"/>
      <c r="K228" s="5">
        <v>215</v>
      </c>
      <c r="L228" s="5">
        <v>17</v>
      </c>
      <c r="M228" s="5">
        <v>3</v>
      </c>
      <c r="N228" s="5" t="s">
        <v>3</v>
      </c>
      <c r="O228" s="5">
        <v>2</v>
      </c>
      <c r="P228" s="5">
        <f>ROUND(Source!EL210,O228)</f>
        <v>1185958.06</v>
      </c>
      <c r="Q228" s="5"/>
      <c r="R228" s="5"/>
      <c r="S228" s="5"/>
      <c r="T228" s="5"/>
      <c r="U228" s="5"/>
      <c r="V228" s="5"/>
      <c r="W228" s="5">
        <v>1167997.68</v>
      </c>
      <c r="X228" s="5">
        <v>1</v>
      </c>
      <c r="Y228" s="5">
        <v>1167997.68</v>
      </c>
      <c r="Z228" s="5">
        <v>1185958.06</v>
      </c>
      <c r="AA228" s="5">
        <v>1</v>
      </c>
      <c r="AB228" s="5">
        <v>1185958.06</v>
      </c>
    </row>
    <row r="229" spans="1:28" ht="12.75">
      <c r="A229" s="5">
        <v>50</v>
      </c>
      <c r="B229" s="5">
        <v>0</v>
      </c>
      <c r="C229" s="5">
        <v>0</v>
      </c>
      <c r="D229" s="5">
        <v>1</v>
      </c>
      <c r="E229" s="5">
        <v>217</v>
      </c>
      <c r="F229" s="5">
        <f>ROUND(Source!AU210,O229)</f>
        <v>0</v>
      </c>
      <c r="G229" s="5" t="s">
        <v>240</v>
      </c>
      <c r="H229" s="5" t="s">
        <v>241</v>
      </c>
      <c r="I229" s="5"/>
      <c r="J229" s="5"/>
      <c r="K229" s="5">
        <v>217</v>
      </c>
      <c r="L229" s="5">
        <v>18</v>
      </c>
      <c r="M229" s="5">
        <v>3</v>
      </c>
      <c r="N229" s="5" t="s">
        <v>3</v>
      </c>
      <c r="O229" s="5">
        <v>2</v>
      </c>
      <c r="P229" s="5">
        <f>ROUND(Source!EM210,O229)</f>
        <v>0</v>
      </c>
      <c r="Q229" s="5"/>
      <c r="R229" s="5"/>
      <c r="S229" s="5"/>
      <c r="T229" s="5"/>
      <c r="U229" s="5"/>
      <c r="V229" s="5"/>
      <c r="W229" s="5">
        <v>0</v>
      </c>
      <c r="X229" s="5">
        <v>1</v>
      </c>
      <c r="Y229" s="5">
        <v>0</v>
      </c>
      <c r="Z229" s="5">
        <v>0</v>
      </c>
      <c r="AA229" s="5">
        <v>1</v>
      </c>
      <c r="AB229" s="5">
        <v>0</v>
      </c>
    </row>
    <row r="230" spans="1:28" ht="12.75">
      <c r="A230" s="5">
        <v>50</v>
      </c>
      <c r="B230" s="5">
        <v>0</v>
      </c>
      <c r="C230" s="5">
        <v>0</v>
      </c>
      <c r="D230" s="5">
        <v>1</v>
      </c>
      <c r="E230" s="5">
        <v>230</v>
      </c>
      <c r="F230" s="5">
        <f>ROUND(Source!BA210,O230)</f>
        <v>0</v>
      </c>
      <c r="G230" s="5" t="s">
        <v>242</v>
      </c>
      <c r="H230" s="5" t="s">
        <v>243</v>
      </c>
      <c r="I230" s="5"/>
      <c r="J230" s="5"/>
      <c r="K230" s="5">
        <v>230</v>
      </c>
      <c r="L230" s="5">
        <v>19</v>
      </c>
      <c r="M230" s="5">
        <v>3</v>
      </c>
      <c r="N230" s="5" t="s">
        <v>3</v>
      </c>
      <c r="O230" s="5">
        <v>2</v>
      </c>
      <c r="P230" s="5">
        <f>ROUND(Source!ES210,O230)</f>
        <v>0</v>
      </c>
      <c r="Q230" s="5"/>
      <c r="R230" s="5"/>
      <c r="S230" s="5"/>
      <c r="T230" s="5"/>
      <c r="U230" s="5"/>
      <c r="V230" s="5"/>
      <c r="W230" s="5">
        <v>0</v>
      </c>
      <c r="X230" s="5">
        <v>1</v>
      </c>
      <c r="Y230" s="5">
        <v>0</v>
      </c>
      <c r="Z230" s="5">
        <v>0</v>
      </c>
      <c r="AA230" s="5">
        <v>1</v>
      </c>
      <c r="AB230" s="5">
        <v>0</v>
      </c>
    </row>
    <row r="231" spans="1:28" ht="12.75">
      <c r="A231" s="5">
        <v>50</v>
      </c>
      <c r="B231" s="5">
        <v>0</v>
      </c>
      <c r="C231" s="5">
        <v>0</v>
      </c>
      <c r="D231" s="5">
        <v>1</v>
      </c>
      <c r="E231" s="5">
        <v>206</v>
      </c>
      <c r="F231" s="5">
        <f>ROUND(Source!T210,O231)</f>
        <v>0</v>
      </c>
      <c r="G231" s="5" t="s">
        <v>244</v>
      </c>
      <c r="H231" s="5" t="s">
        <v>245</v>
      </c>
      <c r="I231" s="5"/>
      <c r="J231" s="5"/>
      <c r="K231" s="5">
        <v>206</v>
      </c>
      <c r="L231" s="5">
        <v>20</v>
      </c>
      <c r="M231" s="5">
        <v>3</v>
      </c>
      <c r="N231" s="5" t="s">
        <v>3</v>
      </c>
      <c r="O231" s="5">
        <v>2</v>
      </c>
      <c r="P231" s="5">
        <f>ROUND(Source!DL210,O231)</f>
        <v>0</v>
      </c>
      <c r="Q231" s="5"/>
      <c r="R231" s="5"/>
      <c r="S231" s="5"/>
      <c r="T231" s="5"/>
      <c r="U231" s="5"/>
      <c r="V231" s="5"/>
      <c r="W231" s="5">
        <v>0</v>
      </c>
      <c r="X231" s="5">
        <v>1</v>
      </c>
      <c r="Y231" s="5">
        <v>0</v>
      </c>
      <c r="Z231" s="5">
        <v>0</v>
      </c>
      <c r="AA231" s="5">
        <v>1</v>
      </c>
      <c r="AB231" s="5">
        <v>0</v>
      </c>
    </row>
    <row r="232" spans="1:28" ht="12.75">
      <c r="A232" s="5">
        <v>50</v>
      </c>
      <c r="B232" s="5">
        <v>0</v>
      </c>
      <c r="C232" s="5">
        <v>0</v>
      </c>
      <c r="D232" s="5">
        <v>1</v>
      </c>
      <c r="E232" s="5">
        <v>207</v>
      </c>
      <c r="F232" s="5">
        <f>Source!U210</f>
        <v>331.60513999999995</v>
      </c>
      <c r="G232" s="5" t="s">
        <v>246</v>
      </c>
      <c r="H232" s="5" t="s">
        <v>247</v>
      </c>
      <c r="I232" s="5"/>
      <c r="J232" s="5"/>
      <c r="K232" s="5">
        <v>207</v>
      </c>
      <c r="L232" s="5">
        <v>21</v>
      </c>
      <c r="M232" s="5">
        <v>3</v>
      </c>
      <c r="N232" s="5" t="s">
        <v>3</v>
      </c>
      <c r="O232" s="5">
        <v>-1</v>
      </c>
      <c r="P232" s="5">
        <f>Source!DM210</f>
        <v>331.60513999999995</v>
      </c>
      <c r="Q232" s="5"/>
      <c r="R232" s="5"/>
      <c r="S232" s="5"/>
      <c r="T232" s="5"/>
      <c r="U232" s="5"/>
      <c r="V232" s="5"/>
      <c r="W232" s="5">
        <v>331.60514</v>
      </c>
      <c r="X232" s="5">
        <v>1</v>
      </c>
      <c r="Y232" s="5">
        <v>331.60514</v>
      </c>
      <c r="Z232" s="5">
        <v>331.60514</v>
      </c>
      <c r="AA232" s="5">
        <v>1</v>
      </c>
      <c r="AB232" s="5">
        <v>331.60514</v>
      </c>
    </row>
    <row r="233" spans="1:28" ht="12.75">
      <c r="A233" s="5">
        <v>50</v>
      </c>
      <c r="B233" s="5">
        <v>0</v>
      </c>
      <c r="C233" s="5">
        <v>0</v>
      </c>
      <c r="D233" s="5">
        <v>1</v>
      </c>
      <c r="E233" s="5">
        <v>208</v>
      </c>
      <c r="F233" s="5">
        <f>Source!V210</f>
        <v>8.718285</v>
      </c>
      <c r="G233" s="5" t="s">
        <v>248</v>
      </c>
      <c r="H233" s="5" t="s">
        <v>249</v>
      </c>
      <c r="I233" s="5"/>
      <c r="J233" s="5"/>
      <c r="K233" s="5">
        <v>208</v>
      </c>
      <c r="L233" s="5">
        <v>22</v>
      </c>
      <c r="M233" s="5">
        <v>3</v>
      </c>
      <c r="N233" s="5" t="s">
        <v>3</v>
      </c>
      <c r="O233" s="5">
        <v>-1</v>
      </c>
      <c r="P233" s="5">
        <f>Source!DN210</f>
        <v>8.718285</v>
      </c>
      <c r="Q233" s="5"/>
      <c r="R233" s="5"/>
      <c r="S233" s="5"/>
      <c r="T233" s="5"/>
      <c r="U233" s="5"/>
      <c r="V233" s="5"/>
      <c r="W233" s="5">
        <v>8.718285</v>
      </c>
      <c r="X233" s="5">
        <v>1</v>
      </c>
      <c r="Y233" s="5">
        <v>8.718285</v>
      </c>
      <c r="Z233" s="5">
        <v>8.718285</v>
      </c>
      <c r="AA233" s="5">
        <v>1</v>
      </c>
      <c r="AB233" s="5">
        <v>8.718285</v>
      </c>
    </row>
    <row r="234" spans="1:28" ht="12.75">
      <c r="A234" s="5">
        <v>50</v>
      </c>
      <c r="B234" s="5">
        <v>0</v>
      </c>
      <c r="C234" s="5">
        <v>0</v>
      </c>
      <c r="D234" s="5">
        <v>1</v>
      </c>
      <c r="E234" s="5">
        <v>209</v>
      </c>
      <c r="F234" s="5">
        <f>ROUND(Source!W210,O234)</f>
        <v>0</v>
      </c>
      <c r="G234" s="5" t="s">
        <v>250</v>
      </c>
      <c r="H234" s="5" t="s">
        <v>251</v>
      </c>
      <c r="I234" s="5"/>
      <c r="J234" s="5"/>
      <c r="K234" s="5">
        <v>209</v>
      </c>
      <c r="L234" s="5">
        <v>23</v>
      </c>
      <c r="M234" s="5">
        <v>3</v>
      </c>
      <c r="N234" s="5" t="s">
        <v>3</v>
      </c>
      <c r="O234" s="5">
        <v>2</v>
      </c>
      <c r="P234" s="5">
        <f>ROUND(Source!DO210,O234)</f>
        <v>0</v>
      </c>
      <c r="Q234" s="5"/>
      <c r="R234" s="5"/>
      <c r="S234" s="5"/>
      <c r="T234" s="5"/>
      <c r="U234" s="5"/>
      <c r="V234" s="5"/>
      <c r="W234" s="5">
        <v>0</v>
      </c>
      <c r="X234" s="5">
        <v>1</v>
      </c>
      <c r="Y234" s="5">
        <v>0</v>
      </c>
      <c r="Z234" s="5">
        <v>0</v>
      </c>
      <c r="AA234" s="5">
        <v>1</v>
      </c>
      <c r="AB234" s="5">
        <v>0</v>
      </c>
    </row>
    <row r="235" spans="1:28" ht="12.75">
      <c r="A235" s="5">
        <v>50</v>
      </c>
      <c r="B235" s="5">
        <v>0</v>
      </c>
      <c r="C235" s="5">
        <v>0</v>
      </c>
      <c r="D235" s="5">
        <v>1</v>
      </c>
      <c r="E235" s="5">
        <v>233</v>
      </c>
      <c r="F235" s="5">
        <f>ROUND(Source!BD210,O235)</f>
        <v>133.3</v>
      </c>
      <c r="G235" s="5" t="s">
        <v>252</v>
      </c>
      <c r="H235" s="5" t="s">
        <v>253</v>
      </c>
      <c r="I235" s="5"/>
      <c r="J235" s="5"/>
      <c r="K235" s="5">
        <v>233</v>
      </c>
      <c r="L235" s="5">
        <v>24</v>
      </c>
      <c r="M235" s="5">
        <v>3</v>
      </c>
      <c r="N235" s="5" t="s">
        <v>3</v>
      </c>
      <c r="O235" s="5">
        <v>2</v>
      </c>
      <c r="P235" s="5">
        <f>ROUND(Source!EV210,O235)</f>
        <v>1764.89</v>
      </c>
      <c r="Q235" s="5"/>
      <c r="R235" s="5"/>
      <c r="S235" s="5"/>
      <c r="T235" s="5"/>
      <c r="U235" s="5"/>
      <c r="V235" s="5"/>
      <c r="W235" s="5">
        <v>133.3</v>
      </c>
      <c r="X235" s="5">
        <v>1</v>
      </c>
      <c r="Y235" s="5">
        <v>133.3</v>
      </c>
      <c r="Z235" s="5">
        <v>1764.89</v>
      </c>
      <c r="AA235" s="5">
        <v>1</v>
      </c>
      <c r="AB235" s="5">
        <v>1764.89</v>
      </c>
    </row>
    <row r="236" spans="1:28" ht="12.75">
      <c r="A236" s="5">
        <v>50</v>
      </c>
      <c r="B236" s="5">
        <v>0</v>
      </c>
      <c r="C236" s="5">
        <v>0</v>
      </c>
      <c r="D236" s="5">
        <v>1</v>
      </c>
      <c r="E236" s="5">
        <v>210</v>
      </c>
      <c r="F236" s="5">
        <f>ROUND(Source!X210,O236)</f>
        <v>3162.52</v>
      </c>
      <c r="G236" s="5" t="s">
        <v>254</v>
      </c>
      <c r="H236" s="5" t="s">
        <v>255</v>
      </c>
      <c r="I236" s="5"/>
      <c r="J236" s="5"/>
      <c r="K236" s="5">
        <v>210</v>
      </c>
      <c r="L236" s="5">
        <v>25</v>
      </c>
      <c r="M236" s="5">
        <v>3</v>
      </c>
      <c r="N236" s="5" t="s">
        <v>3</v>
      </c>
      <c r="O236" s="5">
        <v>2</v>
      </c>
      <c r="P236" s="5">
        <f>ROUND(Source!DP210,O236)</f>
        <v>118087.68</v>
      </c>
      <c r="Q236" s="5"/>
      <c r="R236" s="5"/>
      <c r="S236" s="5"/>
      <c r="T236" s="5"/>
      <c r="U236" s="5"/>
      <c r="V236" s="5"/>
      <c r="W236" s="5">
        <v>3162.52</v>
      </c>
      <c r="X236" s="5">
        <v>1</v>
      </c>
      <c r="Y236" s="5">
        <v>3162.52</v>
      </c>
      <c r="Z236" s="5">
        <v>118087.68</v>
      </c>
      <c r="AA236" s="5">
        <v>1</v>
      </c>
      <c r="AB236" s="5">
        <v>118087.68</v>
      </c>
    </row>
    <row r="237" spans="1:28" ht="12.75">
      <c r="A237" s="5">
        <v>50</v>
      </c>
      <c r="B237" s="5">
        <v>0</v>
      </c>
      <c r="C237" s="5">
        <v>0</v>
      </c>
      <c r="D237" s="5">
        <v>1</v>
      </c>
      <c r="E237" s="5">
        <v>211</v>
      </c>
      <c r="F237" s="5">
        <f>ROUND(Source!Y210,O237)</f>
        <v>1878.88</v>
      </c>
      <c r="G237" s="5" t="s">
        <v>256</v>
      </c>
      <c r="H237" s="5" t="s">
        <v>257</v>
      </c>
      <c r="I237" s="5"/>
      <c r="J237" s="5"/>
      <c r="K237" s="5">
        <v>211</v>
      </c>
      <c r="L237" s="5">
        <v>26</v>
      </c>
      <c r="M237" s="5">
        <v>3</v>
      </c>
      <c r="N237" s="5" t="s">
        <v>3</v>
      </c>
      <c r="O237" s="5">
        <v>2</v>
      </c>
      <c r="P237" s="5">
        <f>ROUND(Source!DQ210,O237)</f>
        <v>70156.9</v>
      </c>
      <c r="Q237" s="5"/>
      <c r="R237" s="5"/>
      <c r="S237" s="5"/>
      <c r="T237" s="5"/>
      <c r="U237" s="5"/>
      <c r="V237" s="5"/>
      <c r="W237" s="5">
        <v>1878.88</v>
      </c>
      <c r="X237" s="5">
        <v>1</v>
      </c>
      <c r="Y237" s="5">
        <v>1878.88</v>
      </c>
      <c r="Z237" s="5">
        <v>70156.9</v>
      </c>
      <c r="AA237" s="5">
        <v>1</v>
      </c>
      <c r="AB237" s="5">
        <v>70156.9</v>
      </c>
    </row>
    <row r="238" spans="1:28" ht="12.75">
      <c r="A238" s="5">
        <v>50</v>
      </c>
      <c r="B238" s="5">
        <v>0</v>
      </c>
      <c r="C238" s="5">
        <v>0</v>
      </c>
      <c r="D238" s="5">
        <v>1</v>
      </c>
      <c r="E238" s="5">
        <v>0</v>
      </c>
      <c r="F238" s="5">
        <f>ROUND(Source!AR210,O238)</f>
        <v>2622573.76</v>
      </c>
      <c r="G238" s="5" t="s">
        <v>258</v>
      </c>
      <c r="H238" s="5" t="s">
        <v>259</v>
      </c>
      <c r="I238" s="5"/>
      <c r="J238" s="5"/>
      <c r="K238" s="5">
        <v>224</v>
      </c>
      <c r="L238" s="5">
        <v>27</v>
      </c>
      <c r="M238" s="5">
        <v>3</v>
      </c>
      <c r="N238" s="5" t="s">
        <v>3</v>
      </c>
      <c r="O238" s="5">
        <v>2</v>
      </c>
      <c r="P238" s="5">
        <f>ROUND(Source!EJ210,O238)</f>
        <v>2964094.04</v>
      </c>
      <c r="Q238" s="5"/>
      <c r="R238" s="5"/>
      <c r="S238" s="5"/>
      <c r="T238" s="5"/>
      <c r="U238" s="5"/>
      <c r="V238" s="5"/>
      <c r="W238" s="5">
        <v>2622573.76</v>
      </c>
      <c r="X238" s="5">
        <v>1</v>
      </c>
      <c r="Y238" s="5">
        <v>2622573.76</v>
      </c>
      <c r="Z238" s="5">
        <v>2964094.04</v>
      </c>
      <c r="AA238" s="5">
        <v>1</v>
      </c>
      <c r="AB238" s="5">
        <v>2964094.04</v>
      </c>
    </row>
    <row r="239" spans="1:28" ht="12.75">
      <c r="A239" s="5">
        <v>50</v>
      </c>
      <c r="B239" s="5">
        <v>0</v>
      </c>
      <c r="C239" s="5">
        <v>0</v>
      </c>
      <c r="D239" s="5">
        <v>2</v>
      </c>
      <c r="E239" s="5">
        <v>0</v>
      </c>
      <c r="F239" s="5">
        <f>ROUND(F216,O239)</f>
        <v>2613184.26</v>
      </c>
      <c r="G239" s="5" t="s">
        <v>277</v>
      </c>
      <c r="H239" s="5" t="s">
        <v>277</v>
      </c>
      <c r="I239" s="5"/>
      <c r="J239" s="5"/>
      <c r="K239" s="5">
        <v>212</v>
      </c>
      <c r="L239" s="5">
        <v>28</v>
      </c>
      <c r="M239" s="5">
        <v>3</v>
      </c>
      <c r="N239" s="5" t="s">
        <v>3</v>
      </c>
      <c r="O239" s="5">
        <v>2</v>
      </c>
      <c r="P239" s="5">
        <f>ROUND(P216,O239)</f>
        <v>2639486.28</v>
      </c>
      <c r="Q239" s="5"/>
      <c r="R239" s="5"/>
      <c r="S239" s="5"/>
      <c r="T239" s="5"/>
      <c r="U239" s="5"/>
      <c r="V239" s="5"/>
      <c r="W239" s="5">
        <v>2613184.26</v>
      </c>
      <c r="X239" s="5">
        <v>1</v>
      </c>
      <c r="Y239" s="5">
        <v>2613184.26</v>
      </c>
      <c r="Z239" s="5">
        <v>2639486.28</v>
      </c>
      <c r="AA239" s="5">
        <v>1</v>
      </c>
      <c r="AB239" s="5">
        <v>2639486.28</v>
      </c>
    </row>
    <row r="240" spans="1:28" ht="12.75">
      <c r="A240" s="5">
        <v>50</v>
      </c>
      <c r="B240" s="5">
        <v>0</v>
      </c>
      <c r="C240" s="5">
        <v>0</v>
      </c>
      <c r="D240" s="5">
        <v>2</v>
      </c>
      <c r="E240" s="5">
        <v>0</v>
      </c>
      <c r="F240" s="5">
        <f>ROUND(F238,O240)</f>
        <v>2622573.76</v>
      </c>
      <c r="G240" s="5" t="s">
        <v>278</v>
      </c>
      <c r="H240" s="5" t="s">
        <v>258</v>
      </c>
      <c r="I240" s="5"/>
      <c r="J240" s="5"/>
      <c r="K240" s="5">
        <v>212</v>
      </c>
      <c r="L240" s="5">
        <v>29</v>
      </c>
      <c r="M240" s="5">
        <v>3</v>
      </c>
      <c r="N240" s="5" t="s">
        <v>3</v>
      </c>
      <c r="O240" s="5">
        <v>2</v>
      </c>
      <c r="P240" s="5">
        <f>ROUND(P238,O240)</f>
        <v>2964094.04</v>
      </c>
      <c r="Q240" s="5"/>
      <c r="R240" s="5"/>
      <c r="S240" s="5"/>
      <c r="T240" s="5"/>
      <c r="U240" s="5"/>
      <c r="V240" s="5"/>
      <c r="W240" s="5">
        <v>2622573.76</v>
      </c>
      <c r="X240" s="5">
        <v>1</v>
      </c>
      <c r="Y240" s="5">
        <v>2622573.76</v>
      </c>
      <c r="Z240" s="5">
        <v>2964094.04</v>
      </c>
      <c r="AA240" s="5">
        <v>1</v>
      </c>
      <c r="AB240" s="5">
        <v>2964094.04</v>
      </c>
    </row>
    <row r="241" spans="1:28" ht="12.75">
      <c r="A241" s="5">
        <v>50</v>
      </c>
      <c r="B241" s="5">
        <v>0</v>
      </c>
      <c r="C241" s="5">
        <v>0</v>
      </c>
      <c r="D241" s="5">
        <v>2</v>
      </c>
      <c r="E241" s="5">
        <v>0</v>
      </c>
      <c r="F241" s="5">
        <f>ROUND(F240*0.2,O241)</f>
        <v>524514.75</v>
      </c>
      <c r="G241" s="5" t="s">
        <v>283</v>
      </c>
      <c r="H241" s="5" t="s">
        <v>280</v>
      </c>
      <c r="I241" s="5"/>
      <c r="J241" s="5"/>
      <c r="K241" s="5">
        <v>212</v>
      </c>
      <c r="L241" s="5">
        <v>32</v>
      </c>
      <c r="M241" s="5">
        <v>3</v>
      </c>
      <c r="N241" s="5" t="s">
        <v>3</v>
      </c>
      <c r="O241" s="5">
        <v>2</v>
      </c>
      <c r="P241" s="5">
        <f>ROUND(P240*0.2,O241)</f>
        <v>592818.81</v>
      </c>
      <c r="Q241" s="5"/>
      <c r="R241" s="5"/>
      <c r="S241" s="5"/>
      <c r="T241" s="5"/>
      <c r="U241" s="5"/>
      <c r="V241" s="5"/>
      <c r="W241" s="5">
        <v>524514.75</v>
      </c>
      <c r="X241" s="5">
        <v>1</v>
      </c>
      <c r="Y241" s="5">
        <v>524514.75</v>
      </c>
      <c r="Z241" s="5">
        <v>592818.81</v>
      </c>
      <c r="AA241" s="5">
        <v>1</v>
      </c>
      <c r="AB241" s="5">
        <v>592818.81</v>
      </c>
    </row>
    <row r="242" spans="1:28" ht="12.75">
      <c r="A242" s="5">
        <v>50</v>
      </c>
      <c r="B242" s="5">
        <v>0</v>
      </c>
      <c r="C242" s="5">
        <v>0</v>
      </c>
      <c r="D242" s="5">
        <v>2</v>
      </c>
      <c r="E242" s="5">
        <v>224</v>
      </c>
      <c r="F242" s="5">
        <f>ROUND(F240+F241,O242)</f>
        <v>3147088.51</v>
      </c>
      <c r="G242" s="5" t="s">
        <v>284</v>
      </c>
      <c r="H242" s="5" t="s">
        <v>281</v>
      </c>
      <c r="I242" s="5"/>
      <c r="J242" s="5"/>
      <c r="K242" s="5">
        <v>212</v>
      </c>
      <c r="L242" s="5">
        <v>33</v>
      </c>
      <c r="M242" s="5">
        <v>3</v>
      </c>
      <c r="N242" s="5" t="s">
        <v>3</v>
      </c>
      <c r="O242" s="5">
        <v>2</v>
      </c>
      <c r="P242" s="5">
        <f>ROUND(P240+P241,O242)</f>
        <v>3556912.85</v>
      </c>
      <c r="Q242" s="5"/>
      <c r="R242" s="5"/>
      <c r="S242" s="5"/>
      <c r="T242" s="5"/>
      <c r="U242" s="5"/>
      <c r="V242" s="5"/>
      <c r="W242" s="5">
        <v>3147088.51</v>
      </c>
      <c r="X242" s="5">
        <v>1</v>
      </c>
      <c r="Y242" s="5">
        <v>3147088.51</v>
      </c>
      <c r="Z242" s="5">
        <v>3556912.85</v>
      </c>
      <c r="AA242" s="5">
        <v>1</v>
      </c>
      <c r="AB242" s="5">
        <v>3556912.85</v>
      </c>
    </row>
    <row r="244" spans="1:8" ht="12.75">
      <c r="A244" s="6">
        <v>61</v>
      </c>
      <c r="B244" s="6"/>
      <c r="C244" s="6"/>
      <c r="D244" s="6"/>
      <c r="E244" s="6"/>
      <c r="F244" s="6">
        <v>3</v>
      </c>
      <c r="G244" s="6" t="s">
        <v>285</v>
      </c>
      <c r="H244" s="6" t="s">
        <v>286</v>
      </c>
    </row>
    <row r="245" spans="1:8" ht="12.75">
      <c r="A245" s="6">
        <v>61</v>
      </c>
      <c r="B245" s="6"/>
      <c r="C245" s="6"/>
      <c r="D245" s="6"/>
      <c r="E245" s="6"/>
      <c r="F245" s="6">
        <v>2</v>
      </c>
      <c r="G245" s="6" t="s">
        <v>287</v>
      </c>
      <c r="H245" s="6" t="s">
        <v>286</v>
      </c>
    </row>
    <row r="246" spans="1:8" ht="12.75">
      <c r="A246" s="6">
        <v>61</v>
      </c>
      <c r="B246" s="6"/>
      <c r="C246" s="6"/>
      <c r="D246" s="6"/>
      <c r="E246" s="6"/>
      <c r="F246" s="6">
        <v>1</v>
      </c>
      <c r="G246" s="6" t="s">
        <v>288</v>
      </c>
      <c r="H246" s="6" t="s">
        <v>286</v>
      </c>
    </row>
    <row r="249" spans="1:16" ht="12.75">
      <c r="A249">
        <v>70</v>
      </c>
      <c r="B249">
        <v>1</v>
      </c>
      <c r="D249">
        <v>1</v>
      </c>
      <c r="E249" t="s">
        <v>289</v>
      </c>
      <c r="F249" t="s">
        <v>290</v>
      </c>
      <c r="G249">
        <v>0</v>
      </c>
      <c r="H249">
        <v>0</v>
      </c>
      <c r="J249">
        <v>1</v>
      </c>
      <c r="K249">
        <v>0</v>
      </c>
      <c r="N249">
        <v>0</v>
      </c>
      <c r="O249">
        <v>0</v>
      </c>
      <c r="P249" t="s">
        <v>291</v>
      </c>
    </row>
    <row r="250" spans="1:16" ht="12.75">
      <c r="A250">
        <v>70</v>
      </c>
      <c r="B250">
        <v>1</v>
      </c>
      <c r="D250">
        <v>2</v>
      </c>
      <c r="E250" t="s">
        <v>292</v>
      </c>
      <c r="F250" t="s">
        <v>293</v>
      </c>
      <c r="G250">
        <v>1</v>
      </c>
      <c r="H250">
        <v>0</v>
      </c>
      <c r="J250">
        <v>1</v>
      </c>
      <c r="K250">
        <v>0</v>
      </c>
      <c r="N250">
        <v>0</v>
      </c>
      <c r="O250">
        <v>1</v>
      </c>
      <c r="P250" t="s">
        <v>294</v>
      </c>
    </row>
    <row r="251" spans="1:16" ht="12.75">
      <c r="A251">
        <v>70</v>
      </c>
      <c r="B251">
        <v>1</v>
      </c>
      <c r="D251">
        <v>3</v>
      </c>
      <c r="E251" t="s">
        <v>295</v>
      </c>
      <c r="F251" t="s">
        <v>296</v>
      </c>
      <c r="G251">
        <v>0</v>
      </c>
      <c r="H251">
        <v>0</v>
      </c>
      <c r="J251">
        <v>1</v>
      </c>
      <c r="K251">
        <v>0</v>
      </c>
      <c r="N251">
        <v>0</v>
      </c>
      <c r="O251">
        <v>0</v>
      </c>
      <c r="P251" t="s">
        <v>297</v>
      </c>
    </row>
    <row r="252" spans="1:16" ht="12.75">
      <c r="A252">
        <v>70</v>
      </c>
      <c r="B252">
        <v>1</v>
      </c>
      <c r="D252">
        <v>4</v>
      </c>
      <c r="E252" t="s">
        <v>298</v>
      </c>
      <c r="F252" t="s">
        <v>299</v>
      </c>
      <c r="G252">
        <v>1</v>
      </c>
      <c r="H252">
        <v>0</v>
      </c>
      <c r="J252">
        <v>2</v>
      </c>
      <c r="K252">
        <v>0</v>
      </c>
      <c r="N252">
        <v>0</v>
      </c>
      <c r="O252">
        <v>1</v>
      </c>
    </row>
    <row r="253" spans="1:16" ht="12.75">
      <c r="A253">
        <v>70</v>
      </c>
      <c r="B253">
        <v>1</v>
      </c>
      <c r="D253">
        <v>5</v>
      </c>
      <c r="E253" t="s">
        <v>300</v>
      </c>
      <c r="F253" t="s">
        <v>301</v>
      </c>
      <c r="G253">
        <v>0</v>
      </c>
      <c r="H253">
        <v>0</v>
      </c>
      <c r="J253">
        <v>2</v>
      </c>
      <c r="K253">
        <v>0</v>
      </c>
      <c r="N253">
        <v>0</v>
      </c>
      <c r="O253">
        <v>0</v>
      </c>
    </row>
    <row r="254" spans="1:16" ht="12.75">
      <c r="A254">
        <v>70</v>
      </c>
      <c r="B254">
        <v>1</v>
      </c>
      <c r="D254">
        <v>6</v>
      </c>
      <c r="E254" t="s">
        <v>302</v>
      </c>
      <c r="F254" t="s">
        <v>303</v>
      </c>
      <c r="G254">
        <v>0</v>
      </c>
      <c r="H254">
        <v>0</v>
      </c>
      <c r="J254">
        <v>2</v>
      </c>
      <c r="K254">
        <v>0</v>
      </c>
      <c r="N254">
        <v>0</v>
      </c>
      <c r="O254">
        <v>0</v>
      </c>
    </row>
    <row r="255" spans="1:16" ht="12.75">
      <c r="A255">
        <v>70</v>
      </c>
      <c r="B255">
        <v>1</v>
      </c>
      <c r="D255">
        <v>7</v>
      </c>
      <c r="E255" t="s">
        <v>304</v>
      </c>
      <c r="F255" t="s">
        <v>305</v>
      </c>
      <c r="G255">
        <v>0</v>
      </c>
      <c r="H255">
        <v>0</v>
      </c>
      <c r="I255" t="s">
        <v>306</v>
      </c>
      <c r="J255">
        <v>0</v>
      </c>
      <c r="K255">
        <v>0</v>
      </c>
      <c r="N255">
        <v>0</v>
      </c>
      <c r="O255">
        <v>0</v>
      </c>
      <c r="P255" t="s">
        <v>307</v>
      </c>
    </row>
    <row r="256" spans="1:16" ht="12.75">
      <c r="A256">
        <v>70</v>
      </c>
      <c r="B256">
        <v>1</v>
      </c>
      <c r="D256">
        <v>8</v>
      </c>
      <c r="E256" t="s">
        <v>308</v>
      </c>
      <c r="F256" t="s">
        <v>309</v>
      </c>
      <c r="G256">
        <v>1</v>
      </c>
      <c r="H256">
        <v>0</v>
      </c>
      <c r="J256">
        <v>5</v>
      </c>
      <c r="K256">
        <v>0</v>
      </c>
      <c r="N256">
        <v>0</v>
      </c>
      <c r="O256">
        <v>1</v>
      </c>
    </row>
    <row r="257" spans="1:16" ht="12.75">
      <c r="A257">
        <v>70</v>
      </c>
      <c r="B257">
        <v>1</v>
      </c>
      <c r="D257">
        <v>9</v>
      </c>
      <c r="E257" t="s">
        <v>310</v>
      </c>
      <c r="F257" t="s">
        <v>311</v>
      </c>
      <c r="G257">
        <v>0</v>
      </c>
      <c r="H257">
        <v>0</v>
      </c>
      <c r="J257">
        <v>5</v>
      </c>
      <c r="K257">
        <v>0</v>
      </c>
      <c r="N257">
        <v>0</v>
      </c>
      <c r="O257">
        <v>0</v>
      </c>
    </row>
    <row r="258" spans="1:16" ht="12.75">
      <c r="A258">
        <v>70</v>
      </c>
      <c r="B258">
        <v>1</v>
      </c>
      <c r="D258">
        <v>10</v>
      </c>
      <c r="E258" t="s">
        <v>312</v>
      </c>
      <c r="F258" t="s">
        <v>313</v>
      </c>
      <c r="G258">
        <v>0</v>
      </c>
      <c r="H258">
        <v>0</v>
      </c>
      <c r="I258" t="s">
        <v>314</v>
      </c>
      <c r="J258">
        <v>5</v>
      </c>
      <c r="K258">
        <v>0</v>
      </c>
      <c r="N258">
        <v>0</v>
      </c>
      <c r="O258">
        <v>0</v>
      </c>
      <c r="P258" t="s">
        <v>315</v>
      </c>
    </row>
    <row r="259" spans="1:16" ht="12.75">
      <c r="A259">
        <v>70</v>
      </c>
      <c r="B259">
        <v>1</v>
      </c>
      <c r="D259">
        <v>11</v>
      </c>
      <c r="E259" t="s">
        <v>316</v>
      </c>
      <c r="F259" t="s">
        <v>317</v>
      </c>
      <c r="G259">
        <v>0</v>
      </c>
      <c r="H259">
        <v>0</v>
      </c>
      <c r="I259" t="s">
        <v>318</v>
      </c>
      <c r="J259">
        <v>0</v>
      </c>
      <c r="K259">
        <v>0</v>
      </c>
      <c r="N259">
        <v>0</v>
      </c>
      <c r="O259">
        <v>0</v>
      </c>
      <c r="P259" t="s">
        <v>319</v>
      </c>
    </row>
    <row r="260" spans="1:16" ht="12.75">
      <c r="A260">
        <v>70</v>
      </c>
      <c r="B260">
        <v>1</v>
      </c>
      <c r="D260">
        <v>12</v>
      </c>
      <c r="E260" t="s">
        <v>320</v>
      </c>
      <c r="F260" t="s">
        <v>321</v>
      </c>
      <c r="G260">
        <v>0</v>
      </c>
      <c r="H260">
        <v>0</v>
      </c>
      <c r="I260" t="s">
        <v>322</v>
      </c>
      <c r="J260">
        <v>0</v>
      </c>
      <c r="K260">
        <v>0</v>
      </c>
      <c r="N260">
        <v>0</v>
      </c>
      <c r="O260">
        <v>0</v>
      </c>
      <c r="P260" t="s">
        <v>323</v>
      </c>
    </row>
    <row r="261" spans="1:16" ht="12.75">
      <c r="A261">
        <v>70</v>
      </c>
      <c r="B261">
        <v>1</v>
      </c>
      <c r="D261">
        <v>13</v>
      </c>
      <c r="E261" t="s">
        <v>324</v>
      </c>
      <c r="F261" t="s">
        <v>325</v>
      </c>
      <c r="G261">
        <v>0</v>
      </c>
      <c r="H261">
        <v>0</v>
      </c>
      <c r="I261" t="s">
        <v>326</v>
      </c>
      <c r="J261">
        <v>0</v>
      </c>
      <c r="K261">
        <v>0</v>
      </c>
      <c r="N261">
        <v>0</v>
      </c>
      <c r="O261">
        <v>0</v>
      </c>
      <c r="P261" t="s">
        <v>327</v>
      </c>
    </row>
    <row r="262" spans="1:16" ht="12.75">
      <c r="A262">
        <v>70</v>
      </c>
      <c r="B262">
        <v>1</v>
      </c>
      <c r="D262">
        <v>14</v>
      </c>
      <c r="E262" t="s">
        <v>328</v>
      </c>
      <c r="F262" t="s">
        <v>329</v>
      </c>
      <c r="G262">
        <v>0</v>
      </c>
      <c r="H262">
        <v>0</v>
      </c>
      <c r="J262">
        <v>0</v>
      </c>
      <c r="K262">
        <v>0</v>
      </c>
      <c r="N262">
        <v>0</v>
      </c>
      <c r="O262">
        <v>0</v>
      </c>
      <c r="P262" t="s">
        <v>330</v>
      </c>
    </row>
    <row r="263" spans="1:16" ht="12.75">
      <c r="A263">
        <v>70</v>
      </c>
      <c r="B263">
        <v>1</v>
      </c>
      <c r="D263">
        <v>15</v>
      </c>
      <c r="E263" t="s">
        <v>331</v>
      </c>
      <c r="F263" t="s">
        <v>332</v>
      </c>
      <c r="G263">
        <v>0</v>
      </c>
      <c r="H263">
        <v>0</v>
      </c>
      <c r="J263">
        <v>3</v>
      </c>
      <c r="K263">
        <v>0</v>
      </c>
      <c r="N263">
        <v>0</v>
      </c>
      <c r="O263">
        <v>0</v>
      </c>
    </row>
    <row r="264" spans="1:16" ht="12.75">
      <c r="A264">
        <v>70</v>
      </c>
      <c r="B264">
        <v>1</v>
      </c>
      <c r="D264">
        <v>16</v>
      </c>
      <c r="E264" t="s">
        <v>333</v>
      </c>
      <c r="F264" t="s">
        <v>334</v>
      </c>
      <c r="G264">
        <v>1</v>
      </c>
      <c r="H264">
        <v>0</v>
      </c>
      <c r="J264">
        <v>3</v>
      </c>
      <c r="K264">
        <v>0</v>
      </c>
      <c r="N264">
        <v>0</v>
      </c>
      <c r="O264">
        <v>1</v>
      </c>
    </row>
    <row r="265" spans="1:16" ht="12.75">
      <c r="A265">
        <v>70</v>
      </c>
      <c r="B265">
        <v>1</v>
      </c>
      <c r="D265">
        <v>1</v>
      </c>
      <c r="E265" t="s">
        <v>335</v>
      </c>
      <c r="F265" t="s">
        <v>336</v>
      </c>
      <c r="G265">
        <v>0.9</v>
      </c>
      <c r="H265">
        <v>1</v>
      </c>
      <c r="I265" t="s">
        <v>337</v>
      </c>
      <c r="J265">
        <v>0</v>
      </c>
      <c r="K265">
        <v>0</v>
      </c>
      <c r="N265">
        <v>0</v>
      </c>
      <c r="O265">
        <v>0.9</v>
      </c>
      <c r="P265" t="s">
        <v>338</v>
      </c>
    </row>
    <row r="266" spans="1:16" ht="12.75">
      <c r="A266">
        <v>70</v>
      </c>
      <c r="B266">
        <v>1</v>
      </c>
      <c r="D266">
        <v>2</v>
      </c>
      <c r="E266" t="s">
        <v>339</v>
      </c>
      <c r="F266" t="s">
        <v>340</v>
      </c>
      <c r="G266">
        <v>0.85</v>
      </c>
      <c r="H266">
        <v>1</v>
      </c>
      <c r="I266" t="s">
        <v>341</v>
      </c>
      <c r="J266">
        <v>0</v>
      </c>
      <c r="K266">
        <v>0</v>
      </c>
      <c r="N266">
        <v>0</v>
      </c>
      <c r="O266">
        <v>0.85</v>
      </c>
      <c r="P266" t="s">
        <v>342</v>
      </c>
    </row>
    <row r="267" spans="1:16" ht="12.75">
      <c r="A267">
        <v>70</v>
      </c>
      <c r="B267">
        <v>1</v>
      </c>
      <c r="D267">
        <v>3</v>
      </c>
      <c r="E267" t="s">
        <v>343</v>
      </c>
      <c r="F267" t="s">
        <v>344</v>
      </c>
      <c r="G267">
        <v>1.03</v>
      </c>
      <c r="H267">
        <v>0</v>
      </c>
      <c r="J267">
        <v>0</v>
      </c>
      <c r="K267">
        <v>0</v>
      </c>
      <c r="N267">
        <v>0</v>
      </c>
      <c r="O267">
        <v>1.03</v>
      </c>
      <c r="P267" t="s">
        <v>345</v>
      </c>
    </row>
    <row r="268" spans="1:16" ht="12.75">
      <c r="A268">
        <v>70</v>
      </c>
      <c r="B268">
        <v>1</v>
      </c>
      <c r="D268">
        <v>4</v>
      </c>
      <c r="E268" t="s">
        <v>346</v>
      </c>
      <c r="F268" t="s">
        <v>347</v>
      </c>
      <c r="G268">
        <v>1.15</v>
      </c>
      <c r="H268">
        <v>0</v>
      </c>
      <c r="J268">
        <v>0</v>
      </c>
      <c r="K268">
        <v>0</v>
      </c>
      <c r="N268">
        <v>0</v>
      </c>
      <c r="O268">
        <v>1.15</v>
      </c>
      <c r="P268" t="s">
        <v>348</v>
      </c>
    </row>
    <row r="269" spans="1:16" ht="12.75">
      <c r="A269">
        <v>70</v>
      </c>
      <c r="B269">
        <v>1</v>
      </c>
      <c r="D269">
        <v>5</v>
      </c>
      <c r="E269" t="s">
        <v>349</v>
      </c>
      <c r="F269" t="s">
        <v>350</v>
      </c>
      <c r="G269">
        <v>7</v>
      </c>
      <c r="H269">
        <v>0</v>
      </c>
      <c r="J269">
        <v>0</v>
      </c>
      <c r="K269">
        <v>0</v>
      </c>
      <c r="N269">
        <v>0</v>
      </c>
      <c r="O269">
        <v>7</v>
      </c>
    </row>
    <row r="270" spans="1:16" ht="12.75">
      <c r="A270">
        <v>70</v>
      </c>
      <c r="B270">
        <v>1</v>
      </c>
      <c r="D270">
        <v>6</v>
      </c>
      <c r="E270" t="s">
        <v>351</v>
      </c>
      <c r="G270">
        <v>2</v>
      </c>
      <c r="H270">
        <v>0</v>
      </c>
      <c r="J270">
        <v>0</v>
      </c>
      <c r="K270">
        <v>0</v>
      </c>
      <c r="N270">
        <v>0</v>
      </c>
      <c r="O270">
        <v>2</v>
      </c>
    </row>
    <row r="272" ht="12.75">
      <c r="A272">
        <v>-1</v>
      </c>
    </row>
    <row r="274" spans="1:15" ht="12.75">
      <c r="A274" s="4">
        <v>75</v>
      </c>
      <c r="B274" s="4" t="s">
        <v>352</v>
      </c>
      <c r="C274" s="4">
        <v>2000</v>
      </c>
      <c r="D274" s="4">
        <v>0</v>
      </c>
      <c r="E274" s="4">
        <v>1</v>
      </c>
      <c r="F274" s="4"/>
      <c r="G274" s="4">
        <v>0</v>
      </c>
      <c r="H274" s="4">
        <v>1</v>
      </c>
      <c r="I274" s="4">
        <v>0</v>
      </c>
      <c r="J274" s="4">
        <v>3</v>
      </c>
      <c r="K274" s="4">
        <v>0</v>
      </c>
      <c r="L274" s="4">
        <v>0</v>
      </c>
      <c r="M274" s="4">
        <v>0</v>
      </c>
      <c r="N274" s="4">
        <v>55656218</v>
      </c>
      <c r="O274" s="4">
        <v>1</v>
      </c>
    </row>
    <row r="275" spans="1:15" ht="12.75">
      <c r="A275" s="4">
        <v>75</v>
      </c>
      <c r="B275" s="4" t="s">
        <v>353</v>
      </c>
      <c r="C275" s="4">
        <v>2023</v>
      </c>
      <c r="D275" s="4">
        <v>3</v>
      </c>
      <c r="E275" s="4">
        <v>0</v>
      </c>
      <c r="F275" s="4"/>
      <c r="G275" s="4">
        <v>0</v>
      </c>
      <c r="H275" s="4">
        <v>1</v>
      </c>
      <c r="I275" s="4">
        <v>0</v>
      </c>
      <c r="J275" s="4">
        <v>1</v>
      </c>
      <c r="K275" s="4">
        <v>0</v>
      </c>
      <c r="L275" s="4">
        <v>0</v>
      </c>
      <c r="M275" s="4">
        <v>1</v>
      </c>
      <c r="N275" s="4">
        <v>55657272</v>
      </c>
      <c r="O275" s="4">
        <v>2</v>
      </c>
    </row>
    <row r="276" spans="1:40" ht="12.75">
      <c r="A276" s="7">
        <v>3</v>
      </c>
      <c r="B276" s="7" t="s">
        <v>354</v>
      </c>
      <c r="C276" s="7">
        <v>1</v>
      </c>
      <c r="D276" s="7">
        <v>6.72</v>
      </c>
      <c r="E276" s="7">
        <v>13.24</v>
      </c>
      <c r="F276" s="7">
        <v>37.34</v>
      </c>
      <c r="G276" s="7">
        <v>37.34</v>
      </c>
      <c r="H276" s="7">
        <v>1</v>
      </c>
      <c r="I276" s="7">
        <v>1</v>
      </c>
      <c r="J276" s="7">
        <v>2</v>
      </c>
      <c r="K276" s="7">
        <v>1</v>
      </c>
      <c r="L276" s="7">
        <v>13.24</v>
      </c>
      <c r="M276" s="7">
        <v>1</v>
      </c>
      <c r="N276" s="7">
        <v>6.72</v>
      </c>
      <c r="O276" s="7">
        <v>1</v>
      </c>
      <c r="P276" s="7">
        <v>1</v>
      </c>
      <c r="Q276" s="7">
        <v>1</v>
      </c>
      <c r="R276" s="7">
        <v>13.24</v>
      </c>
      <c r="S276" s="7" t="s">
        <v>37</v>
      </c>
      <c r="T276" s="7" t="s">
        <v>3</v>
      </c>
      <c r="U276" s="7" t="s">
        <v>3</v>
      </c>
      <c r="V276" s="7" t="s">
        <v>3</v>
      </c>
      <c r="W276" s="7" t="s">
        <v>3</v>
      </c>
      <c r="X276" s="7" t="s">
        <v>3</v>
      </c>
      <c r="Y276" s="7" t="s">
        <v>3</v>
      </c>
      <c r="Z276" s="7" t="s">
        <v>3</v>
      </c>
      <c r="AA276" s="7" t="s">
        <v>3</v>
      </c>
      <c r="AB276" s="7" t="s">
        <v>3</v>
      </c>
      <c r="AC276" s="7" t="s">
        <v>3</v>
      </c>
      <c r="AD276" s="7" t="s">
        <v>3</v>
      </c>
      <c r="AE276" s="7" t="s">
        <v>3</v>
      </c>
      <c r="AF276" s="7" t="s">
        <v>3</v>
      </c>
      <c r="AG276" s="7" t="s">
        <v>3</v>
      </c>
      <c r="AH276" s="7" t="s">
        <v>3</v>
      </c>
      <c r="AI276" s="7"/>
      <c r="AJ276" s="7"/>
      <c r="AK276" s="7"/>
      <c r="AL276" s="7"/>
      <c r="AM276" s="7"/>
      <c r="AN276" s="7">
        <v>55657273</v>
      </c>
    </row>
    <row r="280" spans="1:5" ht="12.75">
      <c r="A280">
        <v>65</v>
      </c>
      <c r="C280">
        <v>1</v>
      </c>
      <c r="D280">
        <v>0</v>
      </c>
      <c r="E280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355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55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403185672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474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55656218</v>
      </c>
      <c r="E14" s="1">
        <v>55657272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f>ROUND((Source!F193)/1000,2)</f>
        <v>1454.58</v>
      </c>
      <c r="F16" s="9">
        <f>ROUND((Source!F194)/1000,2)</f>
        <v>1168</v>
      </c>
      <c r="G16" s="9">
        <f>ROUND((Source!F185)/1000,2)</f>
        <v>0</v>
      </c>
      <c r="H16" s="9">
        <f>ROUND((Source!F195)/1000+(Source!F196)/1000,2)</f>
        <v>0</v>
      </c>
      <c r="I16" s="9">
        <f>E16+F16+G16+H16</f>
        <v>2622.58</v>
      </c>
      <c r="J16" s="9">
        <f>ROUND((Source!F191+Source!F190)/1000,2)</f>
        <v>3.38</v>
      </c>
      <c r="T16" s="10">
        <f>ROUND((Source!P193)/1000,2)</f>
        <v>1778.14</v>
      </c>
      <c r="U16" s="10">
        <f>ROUND((Source!P194)/1000,2)</f>
        <v>1185.96</v>
      </c>
      <c r="V16" s="10">
        <f>ROUND((Source!P185)/1000,2)</f>
        <v>0</v>
      </c>
      <c r="W16" s="10">
        <f>ROUND((Source!P195)/1000+(Source!P196)/1000,2)</f>
        <v>0</v>
      </c>
      <c r="X16" s="10">
        <f>T16+U16+V16+W16</f>
        <v>2964.1000000000004</v>
      </c>
      <c r="Y16" s="10">
        <f>ROUND((Source!P191+Source!P190)/1000,2)</f>
        <v>126.2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2617532.36</v>
      </c>
      <c r="AU16" s="9">
        <v>2613184.26</v>
      </c>
      <c r="AV16" s="9">
        <v>0</v>
      </c>
      <c r="AW16" s="9">
        <v>0</v>
      </c>
      <c r="AX16" s="9">
        <v>0</v>
      </c>
      <c r="AY16" s="9">
        <v>945.32</v>
      </c>
      <c r="AZ16" s="9">
        <v>110.2</v>
      </c>
      <c r="BA16" s="9">
        <v>3269.48</v>
      </c>
      <c r="BB16" s="9">
        <v>1454576.08</v>
      </c>
      <c r="BC16" s="9">
        <v>1167997.68</v>
      </c>
      <c r="BD16" s="9">
        <v>0</v>
      </c>
      <c r="BE16" s="9">
        <v>0</v>
      </c>
      <c r="BF16" s="9">
        <v>331.60514</v>
      </c>
      <c r="BG16" s="9">
        <v>8.718285</v>
      </c>
      <c r="BH16" s="9">
        <v>0</v>
      </c>
      <c r="BI16" s="9">
        <v>3162.52</v>
      </c>
      <c r="BJ16" s="9">
        <v>1878.88</v>
      </c>
      <c r="BK16" s="9">
        <v>3147088.51</v>
      </c>
      <c r="BR16" s="10">
        <v>2775849.46</v>
      </c>
      <c r="BS16" s="10">
        <v>2639486.28</v>
      </c>
      <c r="BT16" s="10">
        <v>0</v>
      </c>
      <c r="BU16" s="10">
        <v>0</v>
      </c>
      <c r="BV16" s="10">
        <v>0</v>
      </c>
      <c r="BW16" s="10">
        <v>12516.25</v>
      </c>
      <c r="BX16" s="10">
        <v>4114.58</v>
      </c>
      <c r="BY16" s="10">
        <v>122082.04000000001</v>
      </c>
      <c r="BZ16" s="10">
        <v>1778135.98</v>
      </c>
      <c r="CA16" s="10">
        <v>1185958.06</v>
      </c>
      <c r="CB16" s="10">
        <v>0</v>
      </c>
      <c r="CC16" s="10">
        <v>0</v>
      </c>
      <c r="CD16" s="10">
        <v>331.60514</v>
      </c>
      <c r="CE16" s="10">
        <v>8.718285</v>
      </c>
      <c r="CF16" s="10">
        <v>0</v>
      </c>
      <c r="CG16" s="10">
        <v>118087.68</v>
      </c>
      <c r="CH16" s="10">
        <v>70156.9</v>
      </c>
      <c r="CI16" s="10">
        <v>3556912.85</v>
      </c>
    </row>
    <row r="18" spans="1:40" ht="12.75">
      <c r="A18">
        <v>51</v>
      </c>
      <c r="E18" s="6">
        <f>SUMIF(A16:A17,3,E16:E17)</f>
        <v>1454.58</v>
      </c>
      <c r="F18" s="6">
        <f>SUMIF(A16:A17,3,F16:F17)</f>
        <v>1168</v>
      </c>
      <c r="G18" s="6">
        <f>SUMIF(A16:A17,3,G16:G17)</f>
        <v>0</v>
      </c>
      <c r="H18" s="6">
        <f>SUMIF(A16:A17,3,H16:H17)</f>
        <v>0</v>
      </c>
      <c r="I18" s="6">
        <f>SUMIF(A16:A17,3,I16:I17)</f>
        <v>2622.58</v>
      </c>
      <c r="J18" s="6">
        <f>SUMIF(A16:A17,3,J16:J17)</f>
        <v>3.38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1778.14</v>
      </c>
      <c r="U18" s="3">
        <f>SUMIF(A16:A17,3,U16:U17)</f>
        <v>1185.96</v>
      </c>
      <c r="V18" s="3">
        <f>SUMIF(A16:A17,3,V16:V17)</f>
        <v>0</v>
      </c>
      <c r="W18" s="3">
        <f>SUMIF(A16:A17,3,W16:W17)</f>
        <v>0</v>
      </c>
      <c r="X18" s="3">
        <f>SUMIF(A16:A17,3,X16:X17)</f>
        <v>2964.1000000000004</v>
      </c>
      <c r="Y18" s="3">
        <f>SUMIF(A16:A17,3,Y16:Y17)</f>
        <v>126.2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2617532.36</v>
      </c>
      <c r="G20" s="5" t="s">
        <v>206</v>
      </c>
      <c r="H20" s="5" t="s">
        <v>207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2775849.46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2613184.26</v>
      </c>
      <c r="G21" s="5" t="s">
        <v>208</v>
      </c>
      <c r="H21" s="5" t="s">
        <v>209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2639486.28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210</v>
      </c>
      <c r="H22" s="5" t="s">
        <v>211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2613184.26</v>
      </c>
      <c r="G23" s="5" t="s">
        <v>212</v>
      </c>
      <c r="H23" s="5" t="s">
        <v>213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2639486.28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2613184.26</v>
      </c>
      <c r="G24" s="5" t="s">
        <v>214</v>
      </c>
      <c r="H24" s="5" t="s">
        <v>215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2639486.28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216</v>
      </c>
      <c r="H25" s="5" t="s">
        <v>217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1</v>
      </c>
      <c r="C26" s="5">
        <v>0</v>
      </c>
      <c r="D26" s="5">
        <v>1</v>
      </c>
      <c r="E26" s="5">
        <v>228</v>
      </c>
      <c r="F26" s="5">
        <v>2613184.26</v>
      </c>
      <c r="G26" s="5" t="s">
        <v>218</v>
      </c>
      <c r="H26" s="5" t="s">
        <v>219</v>
      </c>
      <c r="I26" s="5"/>
      <c r="J26" s="5"/>
      <c r="K26" s="5">
        <v>228</v>
      </c>
      <c r="L26" s="5">
        <v>7</v>
      </c>
      <c r="M26" s="5">
        <v>0</v>
      </c>
      <c r="N26" s="5" t="s">
        <v>3</v>
      </c>
      <c r="O26" s="5">
        <v>2</v>
      </c>
      <c r="P26" s="5">
        <v>2639486.28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220</v>
      </c>
      <c r="H27" s="5" t="s">
        <v>221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222</v>
      </c>
      <c r="H28" s="5" t="s">
        <v>223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224</v>
      </c>
      <c r="H29" s="5" t="s">
        <v>225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945.32</v>
      </c>
      <c r="G30" s="5" t="s">
        <v>226</v>
      </c>
      <c r="H30" s="5" t="s">
        <v>227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12516.25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228</v>
      </c>
      <c r="H31" s="5" t="s">
        <v>229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110.2</v>
      </c>
      <c r="G32" s="5" t="s">
        <v>230</v>
      </c>
      <c r="H32" s="5" t="s">
        <v>231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4114.58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3269.48</v>
      </c>
      <c r="G33" s="5" t="s">
        <v>232</v>
      </c>
      <c r="H33" s="5" t="s">
        <v>233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122082.04000000001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234</v>
      </c>
      <c r="H34" s="5" t="s">
        <v>235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1454576.08</v>
      </c>
      <c r="G35" s="5" t="s">
        <v>236</v>
      </c>
      <c r="H35" s="5" t="s">
        <v>237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1778135.98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1167997.68</v>
      </c>
      <c r="G36" s="5" t="s">
        <v>238</v>
      </c>
      <c r="H36" s="5" t="s">
        <v>239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1185958.06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240</v>
      </c>
      <c r="H37" s="5" t="s">
        <v>241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242</v>
      </c>
      <c r="H38" s="5" t="s">
        <v>243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244</v>
      </c>
      <c r="H39" s="5" t="s">
        <v>245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331.60514</v>
      </c>
      <c r="G40" s="5" t="s">
        <v>246</v>
      </c>
      <c r="H40" s="5" t="s">
        <v>247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331.60514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8.718285</v>
      </c>
      <c r="G41" s="5" t="s">
        <v>248</v>
      </c>
      <c r="H41" s="5" t="s">
        <v>249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8.718285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250</v>
      </c>
      <c r="H42" s="5" t="s">
        <v>251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133.3</v>
      </c>
      <c r="G43" s="5" t="s">
        <v>252</v>
      </c>
      <c r="H43" s="5" t="s">
        <v>253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1764.89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3162.52</v>
      </c>
      <c r="G44" s="5" t="s">
        <v>254</v>
      </c>
      <c r="H44" s="5" t="s">
        <v>255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118087.68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1878.88</v>
      </c>
      <c r="G45" s="5" t="s">
        <v>256</v>
      </c>
      <c r="H45" s="5" t="s">
        <v>257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70156.9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2622573.76</v>
      </c>
      <c r="G46" s="5" t="s">
        <v>258</v>
      </c>
      <c r="H46" s="5" t="s">
        <v>259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2964094.04</v>
      </c>
    </row>
    <row r="47" spans="1:16" ht="12.75">
      <c r="A47" s="5">
        <v>50</v>
      </c>
      <c r="B47" s="5">
        <v>0</v>
      </c>
      <c r="C47" s="5">
        <v>0</v>
      </c>
      <c r="D47" s="5">
        <v>2</v>
      </c>
      <c r="E47" s="5">
        <v>0</v>
      </c>
      <c r="F47" s="5">
        <v>2613184.26</v>
      </c>
      <c r="G47" s="5" t="s">
        <v>277</v>
      </c>
      <c r="H47" s="5" t="s">
        <v>277</v>
      </c>
      <c r="I47" s="5"/>
      <c r="J47" s="5"/>
      <c r="K47" s="5">
        <v>212</v>
      </c>
      <c r="L47" s="5">
        <v>28</v>
      </c>
      <c r="M47" s="5">
        <v>3</v>
      </c>
      <c r="N47" s="5" t="s">
        <v>3</v>
      </c>
      <c r="O47" s="5">
        <v>2</v>
      </c>
      <c r="P47" s="5">
        <v>2639486.28</v>
      </c>
    </row>
    <row r="48" spans="1:16" ht="12.75">
      <c r="A48" s="5">
        <v>50</v>
      </c>
      <c r="B48" s="5">
        <v>0</v>
      </c>
      <c r="C48" s="5">
        <v>0</v>
      </c>
      <c r="D48" s="5">
        <v>2</v>
      </c>
      <c r="E48" s="5">
        <v>0</v>
      </c>
      <c r="F48" s="5">
        <v>2622573.76</v>
      </c>
      <c r="G48" s="5" t="s">
        <v>278</v>
      </c>
      <c r="H48" s="5" t="s">
        <v>258</v>
      </c>
      <c r="I48" s="5"/>
      <c r="J48" s="5"/>
      <c r="K48" s="5">
        <v>212</v>
      </c>
      <c r="L48" s="5">
        <v>29</v>
      </c>
      <c r="M48" s="5">
        <v>3</v>
      </c>
      <c r="N48" s="5" t="s">
        <v>3</v>
      </c>
      <c r="O48" s="5">
        <v>2</v>
      </c>
      <c r="P48" s="5">
        <v>2964094.04</v>
      </c>
    </row>
    <row r="49" spans="1:16" ht="12.75">
      <c r="A49" s="5">
        <v>50</v>
      </c>
      <c r="B49" s="5">
        <v>0</v>
      </c>
      <c r="C49" s="5">
        <v>0</v>
      </c>
      <c r="D49" s="5">
        <v>2</v>
      </c>
      <c r="E49" s="5">
        <v>0</v>
      </c>
      <c r="F49" s="5">
        <v>524514.75</v>
      </c>
      <c r="G49" s="5" t="s">
        <v>283</v>
      </c>
      <c r="H49" s="5" t="s">
        <v>280</v>
      </c>
      <c r="I49" s="5"/>
      <c r="J49" s="5"/>
      <c r="K49" s="5">
        <v>212</v>
      </c>
      <c r="L49" s="5">
        <v>32</v>
      </c>
      <c r="M49" s="5">
        <v>3</v>
      </c>
      <c r="N49" s="5" t="s">
        <v>3</v>
      </c>
      <c r="O49" s="5">
        <v>2</v>
      </c>
      <c r="P49" s="5">
        <v>592818.81</v>
      </c>
    </row>
    <row r="50" spans="1:16" ht="12.75">
      <c r="A50" s="5">
        <v>50</v>
      </c>
      <c r="B50" s="5">
        <v>0</v>
      </c>
      <c r="C50" s="5">
        <v>0</v>
      </c>
      <c r="D50" s="5">
        <v>2</v>
      </c>
      <c r="E50" s="5">
        <v>224</v>
      </c>
      <c r="F50" s="5">
        <v>3147088.51</v>
      </c>
      <c r="G50" s="5" t="s">
        <v>284</v>
      </c>
      <c r="H50" s="5" t="s">
        <v>281</v>
      </c>
      <c r="I50" s="5"/>
      <c r="J50" s="5"/>
      <c r="K50" s="5">
        <v>212</v>
      </c>
      <c r="L50" s="5">
        <v>33</v>
      </c>
      <c r="M50" s="5">
        <v>3</v>
      </c>
      <c r="N50" s="5" t="s">
        <v>3</v>
      </c>
      <c r="O50" s="5">
        <v>2</v>
      </c>
      <c r="P50" s="5">
        <v>3556912.85</v>
      </c>
    </row>
    <row r="52" ht="12.75">
      <c r="A52">
        <v>-1</v>
      </c>
    </row>
    <row r="55" spans="1:15" ht="12.75">
      <c r="A55" s="4">
        <v>75</v>
      </c>
      <c r="B55" s="4" t="s">
        <v>352</v>
      </c>
      <c r="C55" s="4">
        <v>2000</v>
      </c>
      <c r="D55" s="4">
        <v>0</v>
      </c>
      <c r="E55" s="4">
        <v>1</v>
      </c>
      <c r="F55" s="4"/>
      <c r="G55" s="4">
        <v>0</v>
      </c>
      <c r="H55" s="4">
        <v>1</v>
      </c>
      <c r="I55" s="4">
        <v>0</v>
      </c>
      <c r="J55" s="4">
        <v>3</v>
      </c>
      <c r="K55" s="4">
        <v>0</v>
      </c>
      <c r="L55" s="4">
        <v>0</v>
      </c>
      <c r="M55" s="4">
        <v>0</v>
      </c>
      <c r="N55" s="4">
        <v>55656218</v>
      </c>
      <c r="O55" s="4">
        <v>1</v>
      </c>
    </row>
    <row r="56" spans="1:15" ht="12.75">
      <c r="A56" s="4">
        <v>75</v>
      </c>
      <c r="B56" s="4" t="s">
        <v>353</v>
      </c>
      <c r="C56" s="4">
        <v>2023</v>
      </c>
      <c r="D56" s="4">
        <v>3</v>
      </c>
      <c r="E56" s="4">
        <v>0</v>
      </c>
      <c r="F56" s="4"/>
      <c r="G56" s="4">
        <v>0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1</v>
      </c>
      <c r="N56" s="4">
        <v>55657272</v>
      </c>
      <c r="O56" s="4">
        <v>2</v>
      </c>
    </row>
    <row r="57" spans="1:40" ht="12.75">
      <c r="A57" s="7">
        <v>3</v>
      </c>
      <c r="B57" s="7" t="s">
        <v>354</v>
      </c>
      <c r="C57" s="7">
        <v>1</v>
      </c>
      <c r="D57" s="7">
        <v>6.72</v>
      </c>
      <c r="E57" s="7">
        <v>13.24</v>
      </c>
      <c r="F57" s="7">
        <v>37.34</v>
      </c>
      <c r="G57" s="7">
        <v>37.34</v>
      </c>
      <c r="H57" s="7">
        <v>1</v>
      </c>
      <c r="I57" s="7">
        <v>1</v>
      </c>
      <c r="J57" s="7">
        <v>2</v>
      </c>
      <c r="K57" s="7">
        <v>1</v>
      </c>
      <c r="L57" s="7">
        <v>13.24</v>
      </c>
      <c r="M57" s="7">
        <v>1</v>
      </c>
      <c r="N57" s="7">
        <v>6.72</v>
      </c>
      <c r="O57" s="7">
        <v>1</v>
      </c>
      <c r="P57" s="7">
        <v>1</v>
      </c>
      <c r="Q57" s="7">
        <v>1</v>
      </c>
      <c r="R57" s="7">
        <v>13.24</v>
      </c>
      <c r="S57" s="7" t="s">
        <v>37</v>
      </c>
      <c r="T57" s="7" t="s">
        <v>3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7" t="s">
        <v>3</v>
      </c>
      <c r="AC57" s="7" t="s">
        <v>3</v>
      </c>
      <c r="AD57" s="7" t="s">
        <v>3</v>
      </c>
      <c r="AE57" s="7" t="s">
        <v>3</v>
      </c>
      <c r="AF57" s="7" t="s">
        <v>3</v>
      </c>
      <c r="AG57" s="7" t="s">
        <v>3</v>
      </c>
      <c r="AH57" s="7" t="s">
        <v>3</v>
      </c>
      <c r="AI57" s="7"/>
      <c r="AJ57" s="7"/>
      <c r="AK57" s="7"/>
      <c r="AL57" s="7"/>
      <c r="AM57" s="7"/>
      <c r="AN57" s="7">
        <v>55657273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C2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55656218</v>
      </c>
      <c r="C1">
        <v>55657442</v>
      </c>
      <c r="D1">
        <v>53630123</v>
      </c>
      <c r="E1">
        <v>70</v>
      </c>
      <c r="F1">
        <v>1</v>
      </c>
      <c r="G1">
        <v>1</v>
      </c>
      <c r="H1">
        <v>1</v>
      </c>
      <c r="I1" t="s">
        <v>356</v>
      </c>
      <c r="K1" t="s">
        <v>357</v>
      </c>
      <c r="L1">
        <v>1191</v>
      </c>
      <c r="N1">
        <v>1013</v>
      </c>
      <c r="O1" t="s">
        <v>358</v>
      </c>
      <c r="P1" t="s">
        <v>358</v>
      </c>
      <c r="Q1">
        <v>1</v>
      </c>
      <c r="W1">
        <v>0</v>
      </c>
      <c r="X1">
        <v>-1841613679</v>
      </c>
      <c r="Y1">
        <v>208.6</v>
      </c>
      <c r="AA1">
        <v>0</v>
      </c>
      <c r="AB1">
        <v>0</v>
      </c>
      <c r="AC1">
        <v>0</v>
      </c>
      <c r="AD1">
        <v>10.06</v>
      </c>
      <c r="AE1">
        <v>0</v>
      </c>
      <c r="AF1">
        <v>0</v>
      </c>
      <c r="AG1">
        <v>0</v>
      </c>
      <c r="AH1">
        <v>10.06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298</v>
      </c>
      <c r="AU1" t="s">
        <v>30</v>
      </c>
      <c r="AV1">
        <v>1</v>
      </c>
      <c r="AW1">
        <v>2</v>
      </c>
      <c r="AX1">
        <v>55657443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112.644</v>
      </c>
      <c r="CY1">
        <f>AD1</f>
        <v>10.06</v>
      </c>
      <c r="CZ1">
        <f>AH1</f>
        <v>10.06</v>
      </c>
      <c r="DA1">
        <f>AL1</f>
        <v>1</v>
      </c>
      <c r="DB1">
        <f>ROUND((ROUND(AT1*CZ1,2)*ROUND(0.7,7)),2)</f>
        <v>2098.52</v>
      </c>
      <c r="DC1">
        <f>ROUND((ROUND(AT1*AG1,2)*ROUND(0.7,7)),2)</f>
        <v>0</v>
      </c>
    </row>
    <row r="2" spans="1:107" ht="12.75">
      <c r="A2">
        <f>ROW(Source!A28)</f>
        <v>28</v>
      </c>
      <c r="B2">
        <v>55656218</v>
      </c>
      <c r="C2">
        <v>55657442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359</v>
      </c>
      <c r="K2" t="s">
        <v>360</v>
      </c>
      <c r="L2">
        <v>1191</v>
      </c>
      <c r="N2">
        <v>1013</v>
      </c>
      <c r="O2" t="s">
        <v>358</v>
      </c>
      <c r="P2" t="s">
        <v>358</v>
      </c>
      <c r="Q2">
        <v>1</v>
      </c>
      <c r="W2">
        <v>0</v>
      </c>
      <c r="X2">
        <v>-1417349443</v>
      </c>
      <c r="Y2">
        <v>1.736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2.48</v>
      </c>
      <c r="AU2" t="s">
        <v>30</v>
      </c>
      <c r="AV2">
        <v>2</v>
      </c>
      <c r="AW2">
        <v>2</v>
      </c>
      <c r="AX2">
        <v>55657444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0.93744</v>
      </c>
      <c r="CY2">
        <f>AD2</f>
        <v>0</v>
      </c>
      <c r="CZ2">
        <f>AH2</f>
        <v>0</v>
      </c>
      <c r="DA2">
        <f>AL2</f>
        <v>1</v>
      </c>
      <c r="DB2">
        <f>ROUND((ROUND(AT2*CZ2,2)*ROUND(0.7,7)),2)</f>
        <v>0</v>
      </c>
      <c r="DC2">
        <f>ROUND((ROUND(AT2*AG2,2)*ROUND(0.7,7)),2)</f>
        <v>0</v>
      </c>
    </row>
    <row r="3" spans="1:107" ht="12.75">
      <c r="A3">
        <f>ROW(Source!A28)</f>
        <v>28</v>
      </c>
      <c r="B3">
        <v>55656218</v>
      </c>
      <c r="C3">
        <v>55657442</v>
      </c>
      <c r="D3">
        <v>53791997</v>
      </c>
      <c r="E3">
        <v>1</v>
      </c>
      <c r="F3">
        <v>1</v>
      </c>
      <c r="G3">
        <v>1</v>
      </c>
      <c r="H3">
        <v>2</v>
      </c>
      <c r="I3" t="s">
        <v>361</v>
      </c>
      <c r="J3" t="s">
        <v>362</v>
      </c>
      <c r="K3" t="s">
        <v>363</v>
      </c>
      <c r="L3">
        <v>1367</v>
      </c>
      <c r="N3">
        <v>1011</v>
      </c>
      <c r="O3" t="s">
        <v>364</v>
      </c>
      <c r="P3" t="s">
        <v>364</v>
      </c>
      <c r="Q3">
        <v>1</v>
      </c>
      <c r="W3">
        <v>0</v>
      </c>
      <c r="X3">
        <v>-430484415</v>
      </c>
      <c r="Y3">
        <v>1.54</v>
      </c>
      <c r="AA3">
        <v>0</v>
      </c>
      <c r="AB3">
        <v>115.4</v>
      </c>
      <c r="AC3">
        <v>13.5</v>
      </c>
      <c r="AD3">
        <v>0</v>
      </c>
      <c r="AE3">
        <v>0</v>
      </c>
      <c r="AF3">
        <v>115.4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2.2</v>
      </c>
      <c r="AU3" t="s">
        <v>30</v>
      </c>
      <c r="AV3">
        <v>0</v>
      </c>
      <c r="AW3">
        <v>2</v>
      </c>
      <c r="AX3">
        <v>55657445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0.8316000000000001</v>
      </c>
      <c r="CY3">
        <f>AB3</f>
        <v>115.4</v>
      </c>
      <c r="CZ3">
        <f>AF3</f>
        <v>115.4</v>
      </c>
      <c r="DA3">
        <f>AJ3</f>
        <v>1</v>
      </c>
      <c r="DB3">
        <f>ROUND((ROUND(AT3*CZ3,2)*ROUND(0.7,7)),2)</f>
        <v>177.72</v>
      </c>
      <c r="DC3">
        <f>ROUND((ROUND(AT3*AG3,2)*ROUND(0.7,7)),2)</f>
        <v>20.79</v>
      </c>
    </row>
    <row r="4" spans="1:107" ht="12.75">
      <c r="A4">
        <f>ROW(Source!A28)</f>
        <v>28</v>
      </c>
      <c r="B4">
        <v>55656218</v>
      </c>
      <c r="C4">
        <v>55657442</v>
      </c>
      <c r="D4">
        <v>53792134</v>
      </c>
      <c r="E4">
        <v>1</v>
      </c>
      <c r="F4">
        <v>1</v>
      </c>
      <c r="G4">
        <v>1</v>
      </c>
      <c r="H4">
        <v>2</v>
      </c>
      <c r="I4" t="s">
        <v>365</v>
      </c>
      <c r="J4" t="s">
        <v>366</v>
      </c>
      <c r="K4" t="s">
        <v>367</v>
      </c>
      <c r="L4">
        <v>1367</v>
      </c>
      <c r="N4">
        <v>1011</v>
      </c>
      <c r="O4" t="s">
        <v>364</v>
      </c>
      <c r="P4" t="s">
        <v>364</v>
      </c>
      <c r="Q4">
        <v>1</v>
      </c>
      <c r="W4">
        <v>0</v>
      </c>
      <c r="X4">
        <v>-382331097</v>
      </c>
      <c r="Y4">
        <v>30.729999999999997</v>
      </c>
      <c r="AA4">
        <v>0</v>
      </c>
      <c r="AB4">
        <v>6.9</v>
      </c>
      <c r="AC4">
        <v>0</v>
      </c>
      <c r="AD4">
        <v>0</v>
      </c>
      <c r="AE4">
        <v>0</v>
      </c>
      <c r="AF4">
        <v>6.9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43.9</v>
      </c>
      <c r="AU4" t="s">
        <v>30</v>
      </c>
      <c r="AV4">
        <v>0</v>
      </c>
      <c r="AW4">
        <v>2</v>
      </c>
      <c r="AX4">
        <v>55657446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16.5942</v>
      </c>
      <c r="CY4">
        <f>AB4</f>
        <v>6.9</v>
      </c>
      <c r="CZ4">
        <f>AF4</f>
        <v>6.9</v>
      </c>
      <c r="DA4">
        <f>AJ4</f>
        <v>1</v>
      </c>
      <c r="DB4">
        <f>ROUND((ROUND(AT4*CZ4,2)*ROUND(0.7,7)),2)</f>
        <v>212.04</v>
      </c>
      <c r="DC4">
        <f>ROUND((ROUND(AT4*AG4,2)*ROUND(0.7,7)),2)</f>
        <v>0</v>
      </c>
    </row>
    <row r="5" spans="1:107" ht="12.75">
      <c r="A5">
        <f>ROW(Source!A28)</f>
        <v>28</v>
      </c>
      <c r="B5">
        <v>55656218</v>
      </c>
      <c r="C5">
        <v>55657442</v>
      </c>
      <c r="D5">
        <v>53792927</v>
      </c>
      <c r="E5">
        <v>1</v>
      </c>
      <c r="F5">
        <v>1</v>
      </c>
      <c r="G5">
        <v>1</v>
      </c>
      <c r="H5">
        <v>2</v>
      </c>
      <c r="I5" t="s">
        <v>368</v>
      </c>
      <c r="J5" t="s">
        <v>369</v>
      </c>
      <c r="K5" t="s">
        <v>370</v>
      </c>
      <c r="L5">
        <v>1367</v>
      </c>
      <c r="N5">
        <v>1011</v>
      </c>
      <c r="O5" t="s">
        <v>364</v>
      </c>
      <c r="P5" t="s">
        <v>364</v>
      </c>
      <c r="Q5">
        <v>1</v>
      </c>
      <c r="W5">
        <v>0</v>
      </c>
      <c r="X5">
        <v>509054691</v>
      </c>
      <c r="Y5">
        <v>0.196</v>
      </c>
      <c r="AA5">
        <v>0</v>
      </c>
      <c r="AB5">
        <v>65.71</v>
      </c>
      <c r="AC5">
        <v>11.6</v>
      </c>
      <c r="AD5">
        <v>0</v>
      </c>
      <c r="AE5">
        <v>0</v>
      </c>
      <c r="AF5">
        <v>65.71</v>
      </c>
      <c r="AG5">
        <v>11.6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0.28</v>
      </c>
      <c r="AU5" t="s">
        <v>30</v>
      </c>
      <c r="AV5">
        <v>0</v>
      </c>
      <c r="AW5">
        <v>2</v>
      </c>
      <c r="AX5">
        <v>55657447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0.10584000000000002</v>
      </c>
      <c r="CY5">
        <f>AB5</f>
        <v>65.71</v>
      </c>
      <c r="CZ5">
        <f>AF5</f>
        <v>65.71</v>
      </c>
      <c r="DA5">
        <f>AJ5</f>
        <v>1</v>
      </c>
      <c r="DB5">
        <f>ROUND((ROUND(AT5*CZ5,2)*ROUND(0.7,7)),2)</f>
        <v>12.88</v>
      </c>
      <c r="DC5">
        <f>ROUND((ROUND(AT5*AG5,2)*ROUND(0.7,7)),2)</f>
        <v>2.28</v>
      </c>
    </row>
    <row r="6" spans="1:107" ht="12.75">
      <c r="A6">
        <f>ROW(Source!A28)</f>
        <v>28</v>
      </c>
      <c r="B6">
        <v>55656218</v>
      </c>
      <c r="C6">
        <v>55657442</v>
      </c>
      <c r="D6">
        <v>53646035</v>
      </c>
      <c r="E6">
        <v>1</v>
      </c>
      <c r="F6">
        <v>1</v>
      </c>
      <c r="G6">
        <v>1</v>
      </c>
      <c r="H6">
        <v>3</v>
      </c>
      <c r="I6" t="s">
        <v>66</v>
      </c>
      <c r="J6" t="s">
        <v>68</v>
      </c>
      <c r="K6" t="s">
        <v>67</v>
      </c>
      <c r="L6">
        <v>1348</v>
      </c>
      <c r="N6">
        <v>1009</v>
      </c>
      <c r="O6" t="s">
        <v>41</v>
      </c>
      <c r="P6" t="s">
        <v>41</v>
      </c>
      <c r="Q6">
        <v>1000</v>
      </c>
      <c r="W6">
        <v>0</v>
      </c>
      <c r="X6">
        <v>-1671348935</v>
      </c>
      <c r="Y6">
        <v>0</v>
      </c>
      <c r="AA6">
        <v>37900</v>
      </c>
      <c r="AB6">
        <v>0</v>
      </c>
      <c r="AC6">
        <v>0</v>
      </c>
      <c r="AD6">
        <v>0</v>
      </c>
      <c r="AE6">
        <v>37900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0.00115</v>
      </c>
      <c r="AU6" t="s">
        <v>29</v>
      </c>
      <c r="AV6">
        <v>0</v>
      </c>
      <c r="AW6">
        <v>2</v>
      </c>
      <c r="AX6">
        <v>55657449</v>
      </c>
      <c r="AY6">
        <v>1</v>
      </c>
      <c r="AZ6">
        <v>0</v>
      </c>
      <c r="BA6">
        <v>7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</v>
      </c>
      <c r="CY6">
        <f>AA6</f>
        <v>37900</v>
      </c>
      <c r="CZ6">
        <f>AE6</f>
        <v>37900</v>
      </c>
      <c r="DA6">
        <f>AI6</f>
        <v>1</v>
      </c>
      <c r="DB6">
        <f>ROUND((ROUND(AT6*CZ6,2)*ROUND(0,7)),2)</f>
        <v>0</v>
      </c>
      <c r="DC6">
        <f>ROUND((ROUND(AT6*AG6,2)*ROUND(0,7)),2)</f>
        <v>0</v>
      </c>
    </row>
    <row r="7" spans="1:107" ht="12.75">
      <c r="A7">
        <f>ROW(Source!A28)</f>
        <v>28</v>
      </c>
      <c r="B7">
        <v>55656218</v>
      </c>
      <c r="C7">
        <v>55657442</v>
      </c>
      <c r="D7">
        <v>53659617</v>
      </c>
      <c r="E7">
        <v>1</v>
      </c>
      <c r="F7">
        <v>1</v>
      </c>
      <c r="G7">
        <v>1</v>
      </c>
      <c r="H7">
        <v>3</v>
      </c>
      <c r="I7" t="s">
        <v>70</v>
      </c>
      <c r="J7" t="s">
        <v>72</v>
      </c>
      <c r="K7" t="s">
        <v>71</v>
      </c>
      <c r="L7">
        <v>1348</v>
      </c>
      <c r="N7">
        <v>1009</v>
      </c>
      <c r="O7" t="s">
        <v>41</v>
      </c>
      <c r="P7" t="s">
        <v>41</v>
      </c>
      <c r="Q7">
        <v>1000</v>
      </c>
      <c r="W7">
        <v>0</v>
      </c>
      <c r="X7">
        <v>-1915778085</v>
      </c>
      <c r="Y7">
        <v>0</v>
      </c>
      <c r="AA7">
        <v>7712</v>
      </c>
      <c r="AB7">
        <v>0</v>
      </c>
      <c r="AC7">
        <v>0</v>
      </c>
      <c r="AD7">
        <v>0</v>
      </c>
      <c r="AE7">
        <v>7712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0.02</v>
      </c>
      <c r="AU7" t="s">
        <v>29</v>
      </c>
      <c r="AV7">
        <v>0</v>
      </c>
      <c r="AW7">
        <v>2</v>
      </c>
      <c r="AX7">
        <v>55657452</v>
      </c>
      <c r="AY7">
        <v>1</v>
      </c>
      <c r="AZ7">
        <v>0</v>
      </c>
      <c r="BA7">
        <v>10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0</v>
      </c>
      <c r="CY7">
        <f>AA7</f>
        <v>7712</v>
      </c>
      <c r="CZ7">
        <f>AE7</f>
        <v>7712</v>
      </c>
      <c r="DA7">
        <f>AI7</f>
        <v>1</v>
      </c>
      <c r="DB7">
        <f>ROUND((ROUND(AT7*CZ7,2)*ROUND(0,7)),2)</f>
        <v>0</v>
      </c>
      <c r="DC7">
        <f>ROUND((ROUND(AT7*AG7,2)*ROUND(0,7)),2)</f>
        <v>0</v>
      </c>
    </row>
    <row r="8" spans="1:107" ht="12.75">
      <c r="A8">
        <f>ROW(Source!A28)</f>
        <v>28</v>
      </c>
      <c r="B8">
        <v>55656218</v>
      </c>
      <c r="C8">
        <v>55657442</v>
      </c>
      <c r="D8">
        <v>53661716</v>
      </c>
      <c r="E8">
        <v>1</v>
      </c>
      <c r="F8">
        <v>1</v>
      </c>
      <c r="G8">
        <v>1</v>
      </c>
      <c r="H8">
        <v>3</v>
      </c>
      <c r="I8" t="s">
        <v>74</v>
      </c>
      <c r="J8" t="s">
        <v>77</v>
      </c>
      <c r="K8" t="s">
        <v>75</v>
      </c>
      <c r="L8">
        <v>1302</v>
      </c>
      <c r="N8">
        <v>1003</v>
      </c>
      <c r="O8" t="s">
        <v>76</v>
      </c>
      <c r="P8" t="s">
        <v>76</v>
      </c>
      <c r="Q8">
        <v>10</v>
      </c>
      <c r="W8">
        <v>0</v>
      </c>
      <c r="X8">
        <v>581091037</v>
      </c>
      <c r="Y8">
        <v>0</v>
      </c>
      <c r="AA8">
        <v>50.24</v>
      </c>
      <c r="AB8">
        <v>0</v>
      </c>
      <c r="AC8">
        <v>0</v>
      </c>
      <c r="AD8">
        <v>0</v>
      </c>
      <c r="AE8">
        <v>50.24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0.2</v>
      </c>
      <c r="AU8" t="s">
        <v>29</v>
      </c>
      <c r="AV8">
        <v>0</v>
      </c>
      <c r="AW8">
        <v>2</v>
      </c>
      <c r="AX8">
        <v>55657453</v>
      </c>
      <c r="AY8">
        <v>1</v>
      </c>
      <c r="AZ8">
        <v>0</v>
      </c>
      <c r="BA8">
        <v>11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0</v>
      </c>
      <c r="CY8">
        <f>AA8</f>
        <v>50.24</v>
      </c>
      <c r="CZ8">
        <f>AE8</f>
        <v>50.24</v>
      </c>
      <c r="DA8">
        <f>AI8</f>
        <v>1</v>
      </c>
      <c r="DB8">
        <f>ROUND((ROUND(AT8*CZ8,2)*ROUND(0,7)),2)</f>
        <v>0</v>
      </c>
      <c r="DC8">
        <f>ROUND((ROUND(AT8*AG8,2)*ROUND(0,7)),2)</f>
        <v>0</v>
      </c>
    </row>
    <row r="9" spans="1:107" ht="12.75">
      <c r="A9">
        <f>ROW(Source!A28)</f>
        <v>28</v>
      </c>
      <c r="B9">
        <v>55656218</v>
      </c>
      <c r="C9">
        <v>55657442</v>
      </c>
      <c r="D9">
        <v>53666055</v>
      </c>
      <c r="E9">
        <v>1</v>
      </c>
      <c r="F9">
        <v>1</v>
      </c>
      <c r="G9">
        <v>1</v>
      </c>
      <c r="H9">
        <v>3</v>
      </c>
      <c r="I9" t="s">
        <v>87</v>
      </c>
      <c r="J9" t="s">
        <v>89</v>
      </c>
      <c r="K9" t="s">
        <v>88</v>
      </c>
      <c r="L9">
        <v>1339</v>
      </c>
      <c r="N9">
        <v>1007</v>
      </c>
      <c r="O9" t="s">
        <v>46</v>
      </c>
      <c r="P9" t="s">
        <v>46</v>
      </c>
      <c r="Q9">
        <v>1</v>
      </c>
      <c r="W9">
        <v>0</v>
      </c>
      <c r="X9">
        <v>1758287014</v>
      </c>
      <c r="Y9">
        <v>0</v>
      </c>
      <c r="AA9">
        <v>1700</v>
      </c>
      <c r="AB9">
        <v>0</v>
      </c>
      <c r="AC9">
        <v>0</v>
      </c>
      <c r="AD9">
        <v>0</v>
      </c>
      <c r="AE9">
        <v>1700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0.04</v>
      </c>
      <c r="AU9" t="s">
        <v>29</v>
      </c>
      <c r="AV9">
        <v>0</v>
      </c>
      <c r="AW9">
        <v>2</v>
      </c>
      <c r="AX9">
        <v>55657455</v>
      </c>
      <c r="AY9">
        <v>1</v>
      </c>
      <c r="AZ9">
        <v>0</v>
      </c>
      <c r="BA9">
        <v>13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0</v>
      </c>
      <c r="CY9">
        <f>AA9</f>
        <v>1700</v>
      </c>
      <c r="CZ9">
        <f>AE9</f>
        <v>1700</v>
      </c>
      <c r="DA9">
        <f>AI9</f>
        <v>1</v>
      </c>
      <c r="DB9">
        <f>ROUND((ROUND(AT9*CZ9,2)*ROUND(0,7)),2)</f>
        <v>0</v>
      </c>
      <c r="DC9">
        <f>ROUND((ROUND(AT9*AG9,2)*ROUND(0,7)),2)</f>
        <v>0</v>
      </c>
    </row>
    <row r="10" spans="1:107" ht="12.75">
      <c r="A10">
        <f>ROW(Source!A29)</f>
        <v>29</v>
      </c>
      <c r="B10">
        <v>55657272</v>
      </c>
      <c r="C10">
        <v>55657442</v>
      </c>
      <c r="D10">
        <v>53630123</v>
      </c>
      <c r="E10">
        <v>70</v>
      </c>
      <c r="F10">
        <v>1</v>
      </c>
      <c r="G10">
        <v>1</v>
      </c>
      <c r="H10">
        <v>1</v>
      </c>
      <c r="I10" t="s">
        <v>356</v>
      </c>
      <c r="K10" t="s">
        <v>357</v>
      </c>
      <c r="L10">
        <v>1191</v>
      </c>
      <c r="N10">
        <v>1013</v>
      </c>
      <c r="O10" t="s">
        <v>358</v>
      </c>
      <c r="P10" t="s">
        <v>358</v>
      </c>
      <c r="Q10">
        <v>1</v>
      </c>
      <c r="W10">
        <v>0</v>
      </c>
      <c r="X10">
        <v>-1841613679</v>
      </c>
      <c r="Y10">
        <v>208.6</v>
      </c>
      <c r="AA10">
        <v>0</v>
      </c>
      <c r="AB10">
        <v>0</v>
      </c>
      <c r="AC10">
        <v>0</v>
      </c>
      <c r="AD10">
        <v>375.64</v>
      </c>
      <c r="AE10">
        <v>0</v>
      </c>
      <c r="AF10">
        <v>0</v>
      </c>
      <c r="AG10">
        <v>0</v>
      </c>
      <c r="AH10">
        <v>10.06</v>
      </c>
      <c r="AI10">
        <v>1</v>
      </c>
      <c r="AJ10">
        <v>1</v>
      </c>
      <c r="AK10">
        <v>1</v>
      </c>
      <c r="AL10">
        <v>37.34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298</v>
      </c>
      <c r="AU10" t="s">
        <v>30</v>
      </c>
      <c r="AV10">
        <v>1</v>
      </c>
      <c r="AW10">
        <v>2</v>
      </c>
      <c r="AX10">
        <v>55657443</v>
      </c>
      <c r="AY10">
        <v>1</v>
      </c>
      <c r="AZ10">
        <v>0</v>
      </c>
      <c r="BA10">
        <v>14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112.644</v>
      </c>
      <c r="CY10">
        <f>AD10</f>
        <v>375.64</v>
      </c>
      <c r="CZ10">
        <f>AH10</f>
        <v>10.06</v>
      </c>
      <c r="DA10">
        <f>AL10</f>
        <v>37.34</v>
      </c>
      <c r="DB10">
        <f>ROUND((ROUND(AT10*CZ10,2)*ROUND(0.7,7)),2)</f>
        <v>2098.52</v>
      </c>
      <c r="DC10">
        <f>ROUND((ROUND(AT10*AG10,2)*ROUND(0.7,7)),2)</f>
        <v>0</v>
      </c>
    </row>
    <row r="11" spans="1:107" ht="12.75">
      <c r="A11">
        <f>ROW(Source!A29)</f>
        <v>29</v>
      </c>
      <c r="B11">
        <v>55657272</v>
      </c>
      <c r="C11">
        <v>55657442</v>
      </c>
      <c r="D11">
        <v>53630257</v>
      </c>
      <c r="E11">
        <v>70</v>
      </c>
      <c r="F11">
        <v>1</v>
      </c>
      <c r="G11">
        <v>1</v>
      </c>
      <c r="H11">
        <v>1</v>
      </c>
      <c r="I11" t="s">
        <v>359</v>
      </c>
      <c r="K11" t="s">
        <v>360</v>
      </c>
      <c r="L11">
        <v>1191</v>
      </c>
      <c r="N11">
        <v>1013</v>
      </c>
      <c r="O11" t="s">
        <v>358</v>
      </c>
      <c r="P11" t="s">
        <v>358</v>
      </c>
      <c r="Q11">
        <v>1</v>
      </c>
      <c r="W11">
        <v>0</v>
      </c>
      <c r="X11">
        <v>-1417349443</v>
      </c>
      <c r="Y11">
        <v>1.736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37.34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2.48</v>
      </c>
      <c r="AU11" t="s">
        <v>30</v>
      </c>
      <c r="AV11">
        <v>2</v>
      </c>
      <c r="AW11">
        <v>2</v>
      </c>
      <c r="AX11">
        <v>55657444</v>
      </c>
      <c r="AY11">
        <v>1</v>
      </c>
      <c r="AZ11">
        <v>0</v>
      </c>
      <c r="BA11">
        <v>15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0.93744</v>
      </c>
      <c r="CY11">
        <f>AD11</f>
        <v>0</v>
      </c>
      <c r="CZ11">
        <f>AH11</f>
        <v>0</v>
      </c>
      <c r="DA11">
        <f>AL11</f>
        <v>1</v>
      </c>
      <c r="DB11">
        <f>ROUND((ROUND(AT11*CZ11,2)*ROUND(0.7,7)),2)</f>
        <v>0</v>
      </c>
      <c r="DC11">
        <f>ROUND((ROUND(AT11*AG11,2)*ROUND(0.7,7)),2)</f>
        <v>0</v>
      </c>
    </row>
    <row r="12" spans="1:107" ht="12.75">
      <c r="A12">
        <f>ROW(Source!A29)</f>
        <v>29</v>
      </c>
      <c r="B12">
        <v>55657272</v>
      </c>
      <c r="C12">
        <v>55657442</v>
      </c>
      <c r="D12">
        <v>53791997</v>
      </c>
      <c r="E12">
        <v>1</v>
      </c>
      <c r="F12">
        <v>1</v>
      </c>
      <c r="G12">
        <v>1</v>
      </c>
      <c r="H12">
        <v>2</v>
      </c>
      <c r="I12" t="s">
        <v>361</v>
      </c>
      <c r="J12" t="s">
        <v>362</v>
      </c>
      <c r="K12" t="s">
        <v>363</v>
      </c>
      <c r="L12">
        <v>1367</v>
      </c>
      <c r="N12">
        <v>1011</v>
      </c>
      <c r="O12" t="s">
        <v>364</v>
      </c>
      <c r="P12" t="s">
        <v>364</v>
      </c>
      <c r="Q12">
        <v>1</v>
      </c>
      <c r="W12">
        <v>0</v>
      </c>
      <c r="X12">
        <v>-430484415</v>
      </c>
      <c r="Y12">
        <v>1.54</v>
      </c>
      <c r="AA12">
        <v>0</v>
      </c>
      <c r="AB12">
        <v>1527.9</v>
      </c>
      <c r="AC12">
        <v>504.09</v>
      </c>
      <c r="AD12">
        <v>0</v>
      </c>
      <c r="AE12">
        <v>0</v>
      </c>
      <c r="AF12">
        <v>115.4</v>
      </c>
      <c r="AG12">
        <v>13.5</v>
      </c>
      <c r="AH12">
        <v>0</v>
      </c>
      <c r="AI12">
        <v>1</v>
      </c>
      <c r="AJ12">
        <v>13.24</v>
      </c>
      <c r="AK12">
        <v>37.34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2.2</v>
      </c>
      <c r="AU12" t="s">
        <v>30</v>
      </c>
      <c r="AV12">
        <v>0</v>
      </c>
      <c r="AW12">
        <v>2</v>
      </c>
      <c r="AX12">
        <v>55657445</v>
      </c>
      <c r="AY12">
        <v>1</v>
      </c>
      <c r="AZ12">
        <v>0</v>
      </c>
      <c r="BA12">
        <v>16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0.8316000000000001</v>
      </c>
      <c r="CY12">
        <f>AB12</f>
        <v>1527.9</v>
      </c>
      <c r="CZ12">
        <f>AF12</f>
        <v>115.4</v>
      </c>
      <c r="DA12">
        <f>AJ12</f>
        <v>13.24</v>
      </c>
      <c r="DB12">
        <f>ROUND((ROUND(AT12*CZ12,2)*ROUND(0.7,7)),2)</f>
        <v>177.72</v>
      </c>
      <c r="DC12">
        <f>ROUND((ROUND(AT12*AG12,2)*ROUND(0.7,7)),2)</f>
        <v>20.79</v>
      </c>
    </row>
    <row r="13" spans="1:107" ht="12.75">
      <c r="A13">
        <f>ROW(Source!A29)</f>
        <v>29</v>
      </c>
      <c r="B13">
        <v>55657272</v>
      </c>
      <c r="C13">
        <v>55657442</v>
      </c>
      <c r="D13">
        <v>53792134</v>
      </c>
      <c r="E13">
        <v>1</v>
      </c>
      <c r="F13">
        <v>1</v>
      </c>
      <c r="G13">
        <v>1</v>
      </c>
      <c r="H13">
        <v>2</v>
      </c>
      <c r="I13" t="s">
        <v>365</v>
      </c>
      <c r="J13" t="s">
        <v>366</v>
      </c>
      <c r="K13" t="s">
        <v>367</v>
      </c>
      <c r="L13">
        <v>1367</v>
      </c>
      <c r="N13">
        <v>1011</v>
      </c>
      <c r="O13" t="s">
        <v>364</v>
      </c>
      <c r="P13" t="s">
        <v>364</v>
      </c>
      <c r="Q13">
        <v>1</v>
      </c>
      <c r="W13">
        <v>0</v>
      </c>
      <c r="X13">
        <v>-382331097</v>
      </c>
      <c r="Y13">
        <v>30.729999999999997</v>
      </c>
      <c r="AA13">
        <v>0</v>
      </c>
      <c r="AB13">
        <v>91.36</v>
      </c>
      <c r="AC13">
        <v>0</v>
      </c>
      <c r="AD13">
        <v>0</v>
      </c>
      <c r="AE13">
        <v>0</v>
      </c>
      <c r="AF13">
        <v>6.9</v>
      </c>
      <c r="AG13">
        <v>0</v>
      </c>
      <c r="AH13">
        <v>0</v>
      </c>
      <c r="AI13">
        <v>1</v>
      </c>
      <c r="AJ13">
        <v>13.24</v>
      </c>
      <c r="AK13">
        <v>37.34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43.9</v>
      </c>
      <c r="AU13" t="s">
        <v>30</v>
      </c>
      <c r="AV13">
        <v>0</v>
      </c>
      <c r="AW13">
        <v>2</v>
      </c>
      <c r="AX13">
        <v>55657446</v>
      </c>
      <c r="AY13">
        <v>1</v>
      </c>
      <c r="AZ13">
        <v>0</v>
      </c>
      <c r="BA13">
        <v>17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16.5942</v>
      </c>
      <c r="CY13">
        <f>AB13</f>
        <v>91.36</v>
      </c>
      <c r="CZ13">
        <f>AF13</f>
        <v>6.9</v>
      </c>
      <c r="DA13">
        <f>AJ13</f>
        <v>13.24</v>
      </c>
      <c r="DB13">
        <f>ROUND((ROUND(AT13*CZ13,2)*ROUND(0.7,7)),2)</f>
        <v>212.04</v>
      </c>
      <c r="DC13">
        <f>ROUND((ROUND(AT13*AG13,2)*ROUND(0.7,7)),2)</f>
        <v>0</v>
      </c>
    </row>
    <row r="14" spans="1:107" ht="12.75">
      <c r="A14">
        <f>ROW(Source!A29)</f>
        <v>29</v>
      </c>
      <c r="B14">
        <v>55657272</v>
      </c>
      <c r="C14">
        <v>55657442</v>
      </c>
      <c r="D14">
        <v>53792927</v>
      </c>
      <c r="E14">
        <v>1</v>
      </c>
      <c r="F14">
        <v>1</v>
      </c>
      <c r="G14">
        <v>1</v>
      </c>
      <c r="H14">
        <v>2</v>
      </c>
      <c r="I14" t="s">
        <v>368</v>
      </c>
      <c r="J14" t="s">
        <v>369</v>
      </c>
      <c r="K14" t="s">
        <v>370</v>
      </c>
      <c r="L14">
        <v>1367</v>
      </c>
      <c r="N14">
        <v>1011</v>
      </c>
      <c r="O14" t="s">
        <v>364</v>
      </c>
      <c r="P14" t="s">
        <v>364</v>
      </c>
      <c r="Q14">
        <v>1</v>
      </c>
      <c r="W14">
        <v>0</v>
      </c>
      <c r="X14">
        <v>509054691</v>
      </c>
      <c r="Y14">
        <v>0.196</v>
      </c>
      <c r="AA14">
        <v>0</v>
      </c>
      <c r="AB14">
        <v>870</v>
      </c>
      <c r="AC14">
        <v>433.14</v>
      </c>
      <c r="AD14">
        <v>0</v>
      </c>
      <c r="AE14">
        <v>0</v>
      </c>
      <c r="AF14">
        <v>65.71</v>
      </c>
      <c r="AG14">
        <v>11.6</v>
      </c>
      <c r="AH14">
        <v>0</v>
      </c>
      <c r="AI14">
        <v>1</v>
      </c>
      <c r="AJ14">
        <v>13.24</v>
      </c>
      <c r="AK14">
        <v>37.34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0.28</v>
      </c>
      <c r="AU14" t="s">
        <v>30</v>
      </c>
      <c r="AV14">
        <v>0</v>
      </c>
      <c r="AW14">
        <v>2</v>
      </c>
      <c r="AX14">
        <v>55657447</v>
      </c>
      <c r="AY14">
        <v>1</v>
      </c>
      <c r="AZ14">
        <v>0</v>
      </c>
      <c r="BA14">
        <v>18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0.10584000000000002</v>
      </c>
      <c r="CY14">
        <f>AB14</f>
        <v>870</v>
      </c>
      <c r="CZ14">
        <f>AF14</f>
        <v>65.71</v>
      </c>
      <c r="DA14">
        <f>AJ14</f>
        <v>13.24</v>
      </c>
      <c r="DB14">
        <f>ROUND((ROUND(AT14*CZ14,2)*ROUND(0.7,7)),2)</f>
        <v>12.88</v>
      </c>
      <c r="DC14">
        <f>ROUND((ROUND(AT14*AG14,2)*ROUND(0.7,7)),2)</f>
        <v>2.28</v>
      </c>
    </row>
    <row r="15" spans="1:107" ht="12.75">
      <c r="A15">
        <f>ROW(Source!A29)</f>
        <v>29</v>
      </c>
      <c r="B15">
        <v>55657272</v>
      </c>
      <c r="C15">
        <v>55657442</v>
      </c>
      <c r="D15">
        <v>53646035</v>
      </c>
      <c r="E15">
        <v>1</v>
      </c>
      <c r="F15">
        <v>1</v>
      </c>
      <c r="G15">
        <v>1</v>
      </c>
      <c r="H15">
        <v>3</v>
      </c>
      <c r="I15" t="s">
        <v>66</v>
      </c>
      <c r="J15" t="s">
        <v>68</v>
      </c>
      <c r="K15" t="s">
        <v>67</v>
      </c>
      <c r="L15">
        <v>1348</v>
      </c>
      <c r="N15">
        <v>1009</v>
      </c>
      <c r="O15" t="s">
        <v>41</v>
      </c>
      <c r="P15" t="s">
        <v>41</v>
      </c>
      <c r="Q15">
        <v>1000</v>
      </c>
      <c r="W15">
        <v>0</v>
      </c>
      <c r="X15">
        <v>-1671348935</v>
      </c>
      <c r="Y15">
        <v>0</v>
      </c>
      <c r="AA15">
        <v>254688</v>
      </c>
      <c r="AB15">
        <v>0</v>
      </c>
      <c r="AC15">
        <v>0</v>
      </c>
      <c r="AD15">
        <v>0</v>
      </c>
      <c r="AE15">
        <v>37900</v>
      </c>
      <c r="AF15">
        <v>0</v>
      </c>
      <c r="AG15">
        <v>0</v>
      </c>
      <c r="AH15">
        <v>0</v>
      </c>
      <c r="AI15">
        <v>6.72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0.00115</v>
      </c>
      <c r="AU15" t="s">
        <v>29</v>
      </c>
      <c r="AV15">
        <v>0</v>
      </c>
      <c r="AW15">
        <v>2</v>
      </c>
      <c r="AX15">
        <v>55657449</v>
      </c>
      <c r="AY15">
        <v>1</v>
      </c>
      <c r="AZ15">
        <v>0</v>
      </c>
      <c r="BA15">
        <v>20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</v>
      </c>
      <c r="CY15">
        <f>AA15</f>
        <v>254688</v>
      </c>
      <c r="CZ15">
        <f>AE15</f>
        <v>37900</v>
      </c>
      <c r="DA15">
        <f>AI15</f>
        <v>6.72</v>
      </c>
      <c r="DB15">
        <f>ROUND((ROUND(AT15*CZ15,2)*ROUND(0,7)),2)</f>
        <v>0</v>
      </c>
      <c r="DC15">
        <f>ROUND((ROUND(AT15*AG15,2)*ROUND(0,7)),2)</f>
        <v>0</v>
      </c>
    </row>
    <row r="16" spans="1:107" ht="12.75">
      <c r="A16">
        <f>ROW(Source!A29)</f>
        <v>29</v>
      </c>
      <c r="B16">
        <v>55657272</v>
      </c>
      <c r="C16">
        <v>55657442</v>
      </c>
      <c r="D16">
        <v>53659617</v>
      </c>
      <c r="E16">
        <v>1</v>
      </c>
      <c r="F16">
        <v>1</v>
      </c>
      <c r="G16">
        <v>1</v>
      </c>
      <c r="H16">
        <v>3</v>
      </c>
      <c r="I16" t="s">
        <v>70</v>
      </c>
      <c r="J16" t="s">
        <v>72</v>
      </c>
      <c r="K16" t="s">
        <v>71</v>
      </c>
      <c r="L16">
        <v>1348</v>
      </c>
      <c r="N16">
        <v>1009</v>
      </c>
      <c r="O16" t="s">
        <v>41</v>
      </c>
      <c r="P16" t="s">
        <v>41</v>
      </c>
      <c r="Q16">
        <v>1000</v>
      </c>
      <c r="W16">
        <v>0</v>
      </c>
      <c r="X16">
        <v>-1915778085</v>
      </c>
      <c r="Y16">
        <v>0</v>
      </c>
      <c r="AA16">
        <v>51824.64</v>
      </c>
      <c r="AB16">
        <v>0</v>
      </c>
      <c r="AC16">
        <v>0</v>
      </c>
      <c r="AD16">
        <v>0</v>
      </c>
      <c r="AE16">
        <v>7712</v>
      </c>
      <c r="AF16">
        <v>0</v>
      </c>
      <c r="AG16">
        <v>0</v>
      </c>
      <c r="AH16">
        <v>0</v>
      </c>
      <c r="AI16">
        <v>6.72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0.02</v>
      </c>
      <c r="AU16" t="s">
        <v>29</v>
      </c>
      <c r="AV16">
        <v>0</v>
      </c>
      <c r="AW16">
        <v>2</v>
      </c>
      <c r="AX16">
        <v>55657452</v>
      </c>
      <c r="AY16">
        <v>1</v>
      </c>
      <c r="AZ16">
        <v>0</v>
      </c>
      <c r="BA16">
        <v>23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0</v>
      </c>
      <c r="CY16">
        <f>AA16</f>
        <v>51824.64</v>
      </c>
      <c r="CZ16">
        <f>AE16</f>
        <v>7712</v>
      </c>
      <c r="DA16">
        <f>AI16</f>
        <v>6.72</v>
      </c>
      <c r="DB16">
        <f>ROUND((ROUND(AT16*CZ16,2)*ROUND(0,7)),2)</f>
        <v>0</v>
      </c>
      <c r="DC16">
        <f>ROUND((ROUND(AT16*AG16,2)*ROUND(0,7)),2)</f>
        <v>0</v>
      </c>
    </row>
    <row r="17" spans="1:107" ht="12.75">
      <c r="A17">
        <f>ROW(Source!A29)</f>
        <v>29</v>
      </c>
      <c r="B17">
        <v>55657272</v>
      </c>
      <c r="C17">
        <v>55657442</v>
      </c>
      <c r="D17">
        <v>53661716</v>
      </c>
      <c r="E17">
        <v>1</v>
      </c>
      <c r="F17">
        <v>1</v>
      </c>
      <c r="G17">
        <v>1</v>
      </c>
      <c r="H17">
        <v>3</v>
      </c>
      <c r="I17" t="s">
        <v>74</v>
      </c>
      <c r="J17" t="s">
        <v>77</v>
      </c>
      <c r="K17" t="s">
        <v>75</v>
      </c>
      <c r="L17">
        <v>1302</v>
      </c>
      <c r="N17">
        <v>1003</v>
      </c>
      <c r="O17" t="s">
        <v>76</v>
      </c>
      <c r="P17" t="s">
        <v>76</v>
      </c>
      <c r="Q17">
        <v>10</v>
      </c>
      <c r="W17">
        <v>0</v>
      </c>
      <c r="X17">
        <v>581091037</v>
      </c>
      <c r="Y17">
        <v>0</v>
      </c>
      <c r="AA17">
        <v>337.61</v>
      </c>
      <c r="AB17">
        <v>0</v>
      </c>
      <c r="AC17">
        <v>0</v>
      </c>
      <c r="AD17">
        <v>0</v>
      </c>
      <c r="AE17">
        <v>50.24</v>
      </c>
      <c r="AF17">
        <v>0</v>
      </c>
      <c r="AG17">
        <v>0</v>
      </c>
      <c r="AH17">
        <v>0</v>
      </c>
      <c r="AI17">
        <v>6.72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0.2</v>
      </c>
      <c r="AU17" t="s">
        <v>29</v>
      </c>
      <c r="AV17">
        <v>0</v>
      </c>
      <c r="AW17">
        <v>2</v>
      </c>
      <c r="AX17">
        <v>55657453</v>
      </c>
      <c r="AY17">
        <v>1</v>
      </c>
      <c r="AZ17">
        <v>0</v>
      </c>
      <c r="BA17">
        <v>24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0</v>
      </c>
      <c r="CY17">
        <f>AA17</f>
        <v>337.61</v>
      </c>
      <c r="CZ17">
        <f>AE17</f>
        <v>50.24</v>
      </c>
      <c r="DA17">
        <f>AI17</f>
        <v>6.72</v>
      </c>
      <c r="DB17">
        <f>ROUND((ROUND(AT17*CZ17,2)*ROUND(0,7)),2)</f>
        <v>0</v>
      </c>
      <c r="DC17">
        <f>ROUND((ROUND(AT17*AG17,2)*ROUND(0,7)),2)</f>
        <v>0</v>
      </c>
    </row>
    <row r="18" spans="1:107" ht="12.75">
      <c r="A18">
        <f>ROW(Source!A29)</f>
        <v>29</v>
      </c>
      <c r="B18">
        <v>55657272</v>
      </c>
      <c r="C18">
        <v>55657442</v>
      </c>
      <c r="D18">
        <v>53666055</v>
      </c>
      <c r="E18">
        <v>1</v>
      </c>
      <c r="F18">
        <v>1</v>
      </c>
      <c r="G18">
        <v>1</v>
      </c>
      <c r="H18">
        <v>3</v>
      </c>
      <c r="I18" t="s">
        <v>87</v>
      </c>
      <c r="J18" t="s">
        <v>89</v>
      </c>
      <c r="K18" t="s">
        <v>88</v>
      </c>
      <c r="L18">
        <v>1339</v>
      </c>
      <c r="N18">
        <v>1007</v>
      </c>
      <c r="O18" t="s">
        <v>46</v>
      </c>
      <c r="P18" t="s">
        <v>46</v>
      </c>
      <c r="Q18">
        <v>1</v>
      </c>
      <c r="W18">
        <v>0</v>
      </c>
      <c r="X18">
        <v>1758287014</v>
      </c>
      <c r="Y18">
        <v>0</v>
      </c>
      <c r="AA18">
        <v>11424</v>
      </c>
      <c r="AB18">
        <v>0</v>
      </c>
      <c r="AC18">
        <v>0</v>
      </c>
      <c r="AD18">
        <v>0</v>
      </c>
      <c r="AE18">
        <v>1700</v>
      </c>
      <c r="AF18">
        <v>0</v>
      </c>
      <c r="AG18">
        <v>0</v>
      </c>
      <c r="AH18">
        <v>0</v>
      </c>
      <c r="AI18">
        <v>6.72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0.04</v>
      </c>
      <c r="AU18" t="s">
        <v>29</v>
      </c>
      <c r="AV18">
        <v>0</v>
      </c>
      <c r="AW18">
        <v>2</v>
      </c>
      <c r="AX18">
        <v>55657455</v>
      </c>
      <c r="AY18">
        <v>1</v>
      </c>
      <c r="AZ18">
        <v>0</v>
      </c>
      <c r="BA18">
        <v>26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0</v>
      </c>
      <c r="CY18">
        <f>AA18</f>
        <v>11424</v>
      </c>
      <c r="CZ18">
        <f>AE18</f>
        <v>1700</v>
      </c>
      <c r="DA18">
        <f>AI18</f>
        <v>6.72</v>
      </c>
      <c r="DB18">
        <f>ROUND((ROUND(AT18*CZ18,2)*ROUND(0,7)),2)</f>
        <v>0</v>
      </c>
      <c r="DC18">
        <f>ROUND((ROUND(AT18*AG18,2)*ROUND(0,7)),2)</f>
        <v>0</v>
      </c>
    </row>
    <row r="19" spans="1:107" ht="12.75">
      <c r="A19">
        <f>ROW(Source!A30)</f>
        <v>30</v>
      </c>
      <c r="B19">
        <v>55656218</v>
      </c>
      <c r="C19">
        <v>55658753</v>
      </c>
      <c r="D19">
        <v>53630125</v>
      </c>
      <c r="E19">
        <v>70</v>
      </c>
      <c r="F19">
        <v>1</v>
      </c>
      <c r="G19">
        <v>1</v>
      </c>
      <c r="H19">
        <v>1</v>
      </c>
      <c r="I19" t="s">
        <v>371</v>
      </c>
      <c r="K19" t="s">
        <v>372</v>
      </c>
      <c r="L19">
        <v>1191</v>
      </c>
      <c r="N19">
        <v>1013</v>
      </c>
      <c r="O19" t="s">
        <v>358</v>
      </c>
      <c r="P19" t="s">
        <v>358</v>
      </c>
      <c r="Q19">
        <v>1</v>
      </c>
      <c r="W19">
        <v>0</v>
      </c>
      <c r="X19">
        <v>-632984526</v>
      </c>
      <c r="Y19">
        <v>10.92</v>
      </c>
      <c r="AA19">
        <v>0</v>
      </c>
      <c r="AB19">
        <v>0</v>
      </c>
      <c r="AC19">
        <v>0</v>
      </c>
      <c r="AD19">
        <v>10.21</v>
      </c>
      <c r="AE19">
        <v>0</v>
      </c>
      <c r="AF19">
        <v>0</v>
      </c>
      <c r="AG19">
        <v>0</v>
      </c>
      <c r="AH19">
        <v>10.21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15.6</v>
      </c>
      <c r="AU19" t="s">
        <v>30</v>
      </c>
      <c r="AV19">
        <v>1</v>
      </c>
      <c r="AW19">
        <v>2</v>
      </c>
      <c r="AX19">
        <v>55658754</v>
      </c>
      <c r="AY19">
        <v>1</v>
      </c>
      <c r="AZ19">
        <v>0</v>
      </c>
      <c r="BA19">
        <v>27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2.184</v>
      </c>
      <c r="CY19">
        <f>AD19</f>
        <v>10.21</v>
      </c>
      <c r="CZ19">
        <f>AH19</f>
        <v>10.21</v>
      </c>
      <c r="DA19">
        <f>AL19</f>
        <v>1</v>
      </c>
      <c r="DB19">
        <f aca="true" t="shared" si="0" ref="DB19:DB26">ROUND((ROUND(AT19*CZ19,2)*ROUND(0.7,7)),2)</f>
        <v>111.5</v>
      </c>
      <c r="DC19">
        <f aca="true" t="shared" si="1" ref="DC19:DC26">ROUND((ROUND(AT19*AG19,2)*ROUND(0.7,7)),2)</f>
        <v>0</v>
      </c>
    </row>
    <row r="20" spans="1:107" ht="12.75">
      <c r="A20">
        <f>ROW(Source!A30)</f>
        <v>30</v>
      </c>
      <c r="B20">
        <v>55656218</v>
      </c>
      <c r="C20">
        <v>55658753</v>
      </c>
      <c r="D20">
        <v>53630257</v>
      </c>
      <c r="E20">
        <v>70</v>
      </c>
      <c r="F20">
        <v>1</v>
      </c>
      <c r="G20">
        <v>1</v>
      </c>
      <c r="H20">
        <v>1</v>
      </c>
      <c r="I20" t="s">
        <v>359</v>
      </c>
      <c r="K20" t="s">
        <v>360</v>
      </c>
      <c r="L20">
        <v>1191</v>
      </c>
      <c r="N20">
        <v>1013</v>
      </c>
      <c r="O20" t="s">
        <v>358</v>
      </c>
      <c r="P20" t="s">
        <v>358</v>
      </c>
      <c r="Q20">
        <v>1</v>
      </c>
      <c r="W20">
        <v>0</v>
      </c>
      <c r="X20">
        <v>-1417349443</v>
      </c>
      <c r="Y20">
        <v>2.016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2.88</v>
      </c>
      <c r="AU20" t="s">
        <v>30</v>
      </c>
      <c r="AV20">
        <v>2</v>
      </c>
      <c r="AW20">
        <v>2</v>
      </c>
      <c r="AX20">
        <v>55658755</v>
      </c>
      <c r="AY20">
        <v>1</v>
      </c>
      <c r="AZ20">
        <v>0</v>
      </c>
      <c r="BA20">
        <v>28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0.4032</v>
      </c>
      <c r="CY20">
        <f>AD20</f>
        <v>0</v>
      </c>
      <c r="CZ20">
        <f>AH20</f>
        <v>0</v>
      </c>
      <c r="DA20">
        <f>AL20</f>
        <v>1</v>
      </c>
      <c r="DB20">
        <f t="shared" si="0"/>
        <v>0</v>
      </c>
      <c r="DC20">
        <f t="shared" si="1"/>
        <v>0</v>
      </c>
    </row>
    <row r="21" spans="1:107" ht="12.75">
      <c r="A21">
        <f>ROW(Source!A30)</f>
        <v>30</v>
      </c>
      <c r="B21">
        <v>55656218</v>
      </c>
      <c r="C21">
        <v>55658753</v>
      </c>
      <c r="D21">
        <v>53791943</v>
      </c>
      <c r="E21">
        <v>1</v>
      </c>
      <c r="F21">
        <v>1</v>
      </c>
      <c r="G21">
        <v>1</v>
      </c>
      <c r="H21">
        <v>2</v>
      </c>
      <c r="I21" t="s">
        <v>373</v>
      </c>
      <c r="J21" t="s">
        <v>374</v>
      </c>
      <c r="K21" t="s">
        <v>375</v>
      </c>
      <c r="L21">
        <v>1367</v>
      </c>
      <c r="N21">
        <v>1011</v>
      </c>
      <c r="O21" t="s">
        <v>364</v>
      </c>
      <c r="P21" t="s">
        <v>364</v>
      </c>
      <c r="Q21">
        <v>1</v>
      </c>
      <c r="W21">
        <v>0</v>
      </c>
      <c r="X21">
        <v>1142032057</v>
      </c>
      <c r="Y21">
        <v>0.476</v>
      </c>
      <c r="AA21">
        <v>0</v>
      </c>
      <c r="AB21">
        <v>312.21</v>
      </c>
      <c r="AC21">
        <v>15.42</v>
      </c>
      <c r="AD21">
        <v>0</v>
      </c>
      <c r="AE21">
        <v>0</v>
      </c>
      <c r="AF21">
        <v>312.21</v>
      </c>
      <c r="AG21">
        <v>15.42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0.68</v>
      </c>
      <c r="AU21" t="s">
        <v>30</v>
      </c>
      <c r="AV21">
        <v>0</v>
      </c>
      <c r="AW21">
        <v>2</v>
      </c>
      <c r="AX21">
        <v>55658756</v>
      </c>
      <c r="AY21">
        <v>1</v>
      </c>
      <c r="AZ21">
        <v>0</v>
      </c>
      <c r="BA21">
        <v>29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0.0952</v>
      </c>
      <c r="CY21">
        <f aca="true" t="shared" si="2" ref="CY21:CY26">AB21</f>
        <v>312.21</v>
      </c>
      <c r="CZ21">
        <f aca="true" t="shared" si="3" ref="CZ21:CZ26">AF21</f>
        <v>312.21</v>
      </c>
      <c r="DA21">
        <f aca="true" t="shared" si="4" ref="DA21:DA26">AJ21</f>
        <v>1</v>
      </c>
      <c r="DB21">
        <f t="shared" si="0"/>
        <v>148.61</v>
      </c>
      <c r="DC21">
        <f t="shared" si="1"/>
        <v>7.34</v>
      </c>
    </row>
    <row r="22" spans="1:107" ht="12.75">
      <c r="A22">
        <f>ROW(Source!A30)</f>
        <v>30</v>
      </c>
      <c r="B22">
        <v>55656218</v>
      </c>
      <c r="C22">
        <v>55658753</v>
      </c>
      <c r="D22">
        <v>53791952</v>
      </c>
      <c r="E22">
        <v>1</v>
      </c>
      <c r="F22">
        <v>1</v>
      </c>
      <c r="G22">
        <v>1</v>
      </c>
      <c r="H22">
        <v>2</v>
      </c>
      <c r="I22" t="s">
        <v>376</v>
      </c>
      <c r="J22" t="s">
        <v>377</v>
      </c>
      <c r="K22" t="s">
        <v>378</v>
      </c>
      <c r="L22">
        <v>1367</v>
      </c>
      <c r="N22">
        <v>1011</v>
      </c>
      <c r="O22" t="s">
        <v>364</v>
      </c>
      <c r="P22" t="s">
        <v>364</v>
      </c>
      <c r="Q22">
        <v>1</v>
      </c>
      <c r="W22">
        <v>0</v>
      </c>
      <c r="X22">
        <v>-163180553</v>
      </c>
      <c r="Y22">
        <v>1.176</v>
      </c>
      <c r="AA22">
        <v>0</v>
      </c>
      <c r="AB22">
        <v>120.24</v>
      </c>
      <c r="AC22">
        <v>15.42</v>
      </c>
      <c r="AD22">
        <v>0</v>
      </c>
      <c r="AE22">
        <v>0</v>
      </c>
      <c r="AF22">
        <v>120.24</v>
      </c>
      <c r="AG22">
        <v>15.42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1.68</v>
      </c>
      <c r="AU22" t="s">
        <v>30</v>
      </c>
      <c r="AV22">
        <v>0</v>
      </c>
      <c r="AW22">
        <v>2</v>
      </c>
      <c r="AX22">
        <v>55658757</v>
      </c>
      <c r="AY22">
        <v>1</v>
      </c>
      <c r="AZ22">
        <v>0</v>
      </c>
      <c r="BA22">
        <v>30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0.2352</v>
      </c>
      <c r="CY22">
        <f t="shared" si="2"/>
        <v>120.24</v>
      </c>
      <c r="CZ22">
        <f t="shared" si="3"/>
        <v>120.24</v>
      </c>
      <c r="DA22">
        <f t="shared" si="4"/>
        <v>1</v>
      </c>
      <c r="DB22">
        <f t="shared" si="0"/>
        <v>141.4</v>
      </c>
      <c r="DC22">
        <f t="shared" si="1"/>
        <v>18.14</v>
      </c>
    </row>
    <row r="23" spans="1:107" ht="12.75">
      <c r="A23">
        <f>ROW(Source!A30)</f>
        <v>30</v>
      </c>
      <c r="B23">
        <v>55656218</v>
      </c>
      <c r="C23">
        <v>55658753</v>
      </c>
      <c r="D23">
        <v>53791997</v>
      </c>
      <c r="E23">
        <v>1</v>
      </c>
      <c r="F23">
        <v>1</v>
      </c>
      <c r="G23">
        <v>1</v>
      </c>
      <c r="H23">
        <v>2</v>
      </c>
      <c r="I23" t="s">
        <v>361</v>
      </c>
      <c r="J23" t="s">
        <v>362</v>
      </c>
      <c r="K23" t="s">
        <v>363</v>
      </c>
      <c r="L23">
        <v>1367</v>
      </c>
      <c r="N23">
        <v>1011</v>
      </c>
      <c r="O23" t="s">
        <v>364</v>
      </c>
      <c r="P23" t="s">
        <v>364</v>
      </c>
      <c r="Q23">
        <v>1</v>
      </c>
      <c r="W23">
        <v>0</v>
      </c>
      <c r="X23">
        <v>-430484415</v>
      </c>
      <c r="Y23">
        <v>0.147</v>
      </c>
      <c r="AA23">
        <v>0</v>
      </c>
      <c r="AB23">
        <v>115.4</v>
      </c>
      <c r="AC23">
        <v>13.5</v>
      </c>
      <c r="AD23">
        <v>0</v>
      </c>
      <c r="AE23">
        <v>0</v>
      </c>
      <c r="AF23">
        <v>115.4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0.21</v>
      </c>
      <c r="AU23" t="s">
        <v>30</v>
      </c>
      <c r="AV23">
        <v>0</v>
      </c>
      <c r="AW23">
        <v>2</v>
      </c>
      <c r="AX23">
        <v>55658758</v>
      </c>
      <c r="AY23">
        <v>1</v>
      </c>
      <c r="AZ23">
        <v>0</v>
      </c>
      <c r="BA23">
        <v>31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0.0294</v>
      </c>
      <c r="CY23">
        <f t="shared" si="2"/>
        <v>115.4</v>
      </c>
      <c r="CZ23">
        <f t="shared" si="3"/>
        <v>115.4</v>
      </c>
      <c r="DA23">
        <f t="shared" si="4"/>
        <v>1</v>
      </c>
      <c r="DB23">
        <f t="shared" si="0"/>
        <v>16.96</v>
      </c>
      <c r="DC23">
        <f t="shared" si="1"/>
        <v>1.99</v>
      </c>
    </row>
    <row r="24" spans="1:107" ht="12.75">
      <c r="A24">
        <f>ROW(Source!A30)</f>
        <v>30</v>
      </c>
      <c r="B24">
        <v>55656218</v>
      </c>
      <c r="C24">
        <v>55658753</v>
      </c>
      <c r="D24">
        <v>53792927</v>
      </c>
      <c r="E24">
        <v>1</v>
      </c>
      <c r="F24">
        <v>1</v>
      </c>
      <c r="G24">
        <v>1</v>
      </c>
      <c r="H24">
        <v>2</v>
      </c>
      <c r="I24" t="s">
        <v>368</v>
      </c>
      <c r="J24" t="s">
        <v>369</v>
      </c>
      <c r="K24" t="s">
        <v>370</v>
      </c>
      <c r="L24">
        <v>1367</v>
      </c>
      <c r="N24">
        <v>1011</v>
      </c>
      <c r="O24" t="s">
        <v>364</v>
      </c>
      <c r="P24" t="s">
        <v>364</v>
      </c>
      <c r="Q24">
        <v>1</v>
      </c>
      <c r="W24">
        <v>0</v>
      </c>
      <c r="X24">
        <v>509054691</v>
      </c>
      <c r="Y24">
        <v>0.217</v>
      </c>
      <c r="AA24">
        <v>0</v>
      </c>
      <c r="AB24">
        <v>65.71</v>
      </c>
      <c r="AC24">
        <v>11.6</v>
      </c>
      <c r="AD24">
        <v>0</v>
      </c>
      <c r="AE24">
        <v>0</v>
      </c>
      <c r="AF24">
        <v>65.71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0.31</v>
      </c>
      <c r="AU24" t="s">
        <v>30</v>
      </c>
      <c r="AV24">
        <v>0</v>
      </c>
      <c r="AW24">
        <v>2</v>
      </c>
      <c r="AX24">
        <v>55658759</v>
      </c>
      <c r="AY24">
        <v>1</v>
      </c>
      <c r="AZ24">
        <v>0</v>
      </c>
      <c r="BA24">
        <v>32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0.0434</v>
      </c>
      <c r="CY24">
        <f t="shared" si="2"/>
        <v>65.71</v>
      </c>
      <c r="CZ24">
        <f t="shared" si="3"/>
        <v>65.71</v>
      </c>
      <c r="DA24">
        <f t="shared" si="4"/>
        <v>1</v>
      </c>
      <c r="DB24">
        <f t="shared" si="0"/>
        <v>14.26</v>
      </c>
      <c r="DC24">
        <f t="shared" si="1"/>
        <v>2.52</v>
      </c>
    </row>
    <row r="25" spans="1:107" ht="12.75">
      <c r="A25">
        <f>ROW(Source!A30)</f>
        <v>30</v>
      </c>
      <c r="B25">
        <v>55656218</v>
      </c>
      <c r="C25">
        <v>55658753</v>
      </c>
      <c r="D25">
        <v>53793082</v>
      </c>
      <c r="E25">
        <v>1</v>
      </c>
      <c r="F25">
        <v>1</v>
      </c>
      <c r="G25">
        <v>1</v>
      </c>
      <c r="H25">
        <v>2</v>
      </c>
      <c r="I25" t="s">
        <v>379</v>
      </c>
      <c r="J25" t="s">
        <v>380</v>
      </c>
      <c r="K25" t="s">
        <v>381</v>
      </c>
      <c r="L25">
        <v>1367</v>
      </c>
      <c r="N25">
        <v>1011</v>
      </c>
      <c r="O25" t="s">
        <v>364</v>
      </c>
      <c r="P25" t="s">
        <v>364</v>
      </c>
      <c r="Q25">
        <v>1</v>
      </c>
      <c r="W25">
        <v>0</v>
      </c>
      <c r="X25">
        <v>2077867240</v>
      </c>
      <c r="Y25">
        <v>1.666</v>
      </c>
      <c r="AA25">
        <v>0</v>
      </c>
      <c r="AB25">
        <v>1.2</v>
      </c>
      <c r="AC25">
        <v>0</v>
      </c>
      <c r="AD25">
        <v>0</v>
      </c>
      <c r="AE25">
        <v>0</v>
      </c>
      <c r="AF25">
        <v>1.2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2.38</v>
      </c>
      <c r="AU25" t="s">
        <v>30</v>
      </c>
      <c r="AV25">
        <v>0</v>
      </c>
      <c r="AW25">
        <v>2</v>
      </c>
      <c r="AX25">
        <v>55658760</v>
      </c>
      <c r="AY25">
        <v>1</v>
      </c>
      <c r="AZ25">
        <v>0</v>
      </c>
      <c r="BA25">
        <v>33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0.3332</v>
      </c>
      <c r="CY25">
        <f t="shared" si="2"/>
        <v>1.2</v>
      </c>
      <c r="CZ25">
        <f t="shared" si="3"/>
        <v>1.2</v>
      </c>
      <c r="DA25">
        <f t="shared" si="4"/>
        <v>1</v>
      </c>
      <c r="DB25">
        <f t="shared" si="0"/>
        <v>2</v>
      </c>
      <c r="DC25">
        <f t="shared" si="1"/>
        <v>0</v>
      </c>
    </row>
    <row r="26" spans="1:107" ht="12.75">
      <c r="A26">
        <f>ROW(Source!A30)</f>
        <v>30</v>
      </c>
      <c r="B26">
        <v>55656218</v>
      </c>
      <c r="C26">
        <v>55658753</v>
      </c>
      <c r="D26">
        <v>53793125</v>
      </c>
      <c r="E26">
        <v>1</v>
      </c>
      <c r="F26">
        <v>1</v>
      </c>
      <c r="G26">
        <v>1</v>
      </c>
      <c r="H26">
        <v>2</v>
      </c>
      <c r="I26" t="s">
        <v>382</v>
      </c>
      <c r="J26" t="s">
        <v>383</v>
      </c>
      <c r="K26" t="s">
        <v>384</v>
      </c>
      <c r="L26">
        <v>1367</v>
      </c>
      <c r="N26">
        <v>1011</v>
      </c>
      <c r="O26" t="s">
        <v>364</v>
      </c>
      <c r="P26" t="s">
        <v>364</v>
      </c>
      <c r="Q26">
        <v>1</v>
      </c>
      <c r="W26">
        <v>0</v>
      </c>
      <c r="X26">
        <v>-1866313122</v>
      </c>
      <c r="Y26">
        <v>0.33599999999999997</v>
      </c>
      <c r="AA26">
        <v>0</v>
      </c>
      <c r="AB26">
        <v>12.31</v>
      </c>
      <c r="AC26">
        <v>0</v>
      </c>
      <c r="AD26">
        <v>0</v>
      </c>
      <c r="AE26">
        <v>0</v>
      </c>
      <c r="AF26">
        <v>12.31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0.48</v>
      </c>
      <c r="AU26" t="s">
        <v>30</v>
      </c>
      <c r="AV26">
        <v>0</v>
      </c>
      <c r="AW26">
        <v>2</v>
      </c>
      <c r="AX26">
        <v>55658761</v>
      </c>
      <c r="AY26">
        <v>1</v>
      </c>
      <c r="AZ26">
        <v>0</v>
      </c>
      <c r="BA26">
        <v>34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0.0672</v>
      </c>
      <c r="CY26">
        <f t="shared" si="2"/>
        <v>12.31</v>
      </c>
      <c r="CZ26">
        <f t="shared" si="3"/>
        <v>12.31</v>
      </c>
      <c r="DA26">
        <f t="shared" si="4"/>
        <v>1</v>
      </c>
      <c r="DB26">
        <f t="shared" si="0"/>
        <v>4.14</v>
      </c>
      <c r="DC26">
        <f t="shared" si="1"/>
        <v>0</v>
      </c>
    </row>
    <row r="27" spans="1:107" ht="12.75">
      <c r="A27">
        <f>ROW(Source!A30)</f>
        <v>30</v>
      </c>
      <c r="B27">
        <v>55656218</v>
      </c>
      <c r="C27">
        <v>55658753</v>
      </c>
      <c r="D27">
        <v>53640954</v>
      </c>
      <c r="E27">
        <v>1</v>
      </c>
      <c r="F27">
        <v>1</v>
      </c>
      <c r="G27">
        <v>1</v>
      </c>
      <c r="H27">
        <v>3</v>
      </c>
      <c r="I27" t="s">
        <v>44</v>
      </c>
      <c r="J27" t="s">
        <v>47</v>
      </c>
      <c r="K27" t="s">
        <v>45</v>
      </c>
      <c r="L27">
        <v>1339</v>
      </c>
      <c r="N27">
        <v>1007</v>
      </c>
      <c r="O27" t="s">
        <v>46</v>
      </c>
      <c r="P27" t="s">
        <v>46</v>
      </c>
      <c r="Q27">
        <v>1</v>
      </c>
      <c r="W27">
        <v>1</v>
      </c>
      <c r="X27">
        <v>-1761807714</v>
      </c>
      <c r="Y27">
        <v>0</v>
      </c>
      <c r="AA27">
        <v>6.22</v>
      </c>
      <c r="AB27">
        <v>0</v>
      </c>
      <c r="AC27">
        <v>0</v>
      </c>
      <c r="AD27">
        <v>0</v>
      </c>
      <c r="AE27">
        <v>6.22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-1.95</v>
      </c>
      <c r="AU27" t="s">
        <v>29</v>
      </c>
      <c r="AV27">
        <v>0</v>
      </c>
      <c r="AW27">
        <v>2</v>
      </c>
      <c r="AX27">
        <v>55658762</v>
      </c>
      <c r="AY27">
        <v>1</v>
      </c>
      <c r="AZ27">
        <v>4096</v>
      </c>
      <c r="BA27">
        <v>35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0</v>
      </c>
      <c r="CY27">
        <f aca="true" t="shared" si="5" ref="CY27:CY39">AA27</f>
        <v>6.22</v>
      </c>
      <c r="CZ27">
        <f aca="true" t="shared" si="6" ref="CZ27:CZ39">AE27</f>
        <v>6.22</v>
      </c>
      <c r="DA27">
        <f aca="true" t="shared" si="7" ref="DA27:DA39">AI27</f>
        <v>1</v>
      </c>
      <c r="DB27">
        <f aca="true" t="shared" si="8" ref="DB27:DB39">ROUND((ROUND(AT27*CZ27,2)*ROUND(0,7)),2)</f>
        <v>0</v>
      </c>
      <c r="DC27">
        <f aca="true" t="shared" si="9" ref="DC27:DC39">ROUND((ROUND(AT27*AG27,2)*ROUND(0,7)),2)</f>
        <v>0</v>
      </c>
    </row>
    <row r="28" spans="1:107" ht="12.75">
      <c r="A28">
        <f>ROW(Source!A30)</f>
        <v>30</v>
      </c>
      <c r="B28">
        <v>55656218</v>
      </c>
      <c r="C28">
        <v>55658753</v>
      </c>
      <c r="D28">
        <v>53640960</v>
      </c>
      <c r="E28">
        <v>1</v>
      </c>
      <c r="F28">
        <v>1</v>
      </c>
      <c r="G28">
        <v>1</v>
      </c>
      <c r="H28">
        <v>3</v>
      </c>
      <c r="I28" t="s">
        <v>49</v>
      </c>
      <c r="J28" t="s">
        <v>52</v>
      </c>
      <c r="K28" t="s">
        <v>50</v>
      </c>
      <c r="L28">
        <v>1346</v>
      </c>
      <c r="N28">
        <v>1009</v>
      </c>
      <c r="O28" t="s">
        <v>51</v>
      </c>
      <c r="P28" t="s">
        <v>51</v>
      </c>
      <c r="Q28">
        <v>1</v>
      </c>
      <c r="W28">
        <v>1</v>
      </c>
      <c r="X28">
        <v>-2118006079</v>
      </c>
      <c r="Y28">
        <v>0</v>
      </c>
      <c r="AA28">
        <v>6.09</v>
      </c>
      <c r="AB28">
        <v>0</v>
      </c>
      <c r="AC28">
        <v>0</v>
      </c>
      <c r="AD28">
        <v>0</v>
      </c>
      <c r="AE28">
        <v>6.09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-0.59</v>
      </c>
      <c r="AU28" t="s">
        <v>29</v>
      </c>
      <c r="AV28">
        <v>0</v>
      </c>
      <c r="AW28">
        <v>2</v>
      </c>
      <c r="AX28">
        <v>55658763</v>
      </c>
      <c r="AY28">
        <v>1</v>
      </c>
      <c r="AZ28">
        <v>4096</v>
      </c>
      <c r="BA28">
        <v>36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0</v>
      </c>
      <c r="CY28">
        <f t="shared" si="5"/>
        <v>6.09</v>
      </c>
      <c r="CZ28">
        <f t="shared" si="6"/>
        <v>6.09</v>
      </c>
      <c r="DA28">
        <f t="shared" si="7"/>
        <v>1</v>
      </c>
      <c r="DB28">
        <f t="shared" si="8"/>
        <v>0</v>
      </c>
      <c r="DC28">
        <f t="shared" si="9"/>
        <v>0</v>
      </c>
    </row>
    <row r="29" spans="1:107" ht="12.75">
      <c r="A29">
        <f>ROW(Source!A30)</f>
        <v>30</v>
      </c>
      <c r="B29">
        <v>55656218</v>
      </c>
      <c r="C29">
        <v>55658753</v>
      </c>
      <c r="D29">
        <v>53643640</v>
      </c>
      <c r="E29">
        <v>1</v>
      </c>
      <c r="F29">
        <v>1</v>
      </c>
      <c r="G29">
        <v>1</v>
      </c>
      <c r="H29">
        <v>3</v>
      </c>
      <c r="I29" t="s">
        <v>54</v>
      </c>
      <c r="J29" t="s">
        <v>56</v>
      </c>
      <c r="K29" t="s">
        <v>55</v>
      </c>
      <c r="L29">
        <v>1348</v>
      </c>
      <c r="N29">
        <v>1009</v>
      </c>
      <c r="O29" t="s">
        <v>41</v>
      </c>
      <c r="P29" t="s">
        <v>41</v>
      </c>
      <c r="Q29">
        <v>1000</v>
      </c>
      <c r="W29">
        <v>1</v>
      </c>
      <c r="X29">
        <v>1163323608</v>
      </c>
      <c r="Y29">
        <v>0</v>
      </c>
      <c r="AA29">
        <v>10315.01</v>
      </c>
      <c r="AB29">
        <v>0</v>
      </c>
      <c r="AC29">
        <v>0</v>
      </c>
      <c r="AD29">
        <v>0</v>
      </c>
      <c r="AE29">
        <v>10315.01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-0.0031</v>
      </c>
      <c r="AU29" t="s">
        <v>29</v>
      </c>
      <c r="AV29">
        <v>0</v>
      </c>
      <c r="AW29">
        <v>2</v>
      </c>
      <c r="AX29">
        <v>55658764</v>
      </c>
      <c r="AY29">
        <v>1</v>
      </c>
      <c r="AZ29">
        <v>4096</v>
      </c>
      <c r="BA29">
        <v>37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</v>
      </c>
      <c r="CY29">
        <f t="shared" si="5"/>
        <v>10315.01</v>
      </c>
      <c r="CZ29">
        <f t="shared" si="6"/>
        <v>10315.01</v>
      </c>
      <c r="DA29">
        <f t="shared" si="7"/>
        <v>1</v>
      </c>
      <c r="DB29">
        <f t="shared" si="8"/>
        <v>0</v>
      </c>
      <c r="DC29">
        <f t="shared" si="9"/>
        <v>0</v>
      </c>
    </row>
    <row r="30" spans="1:107" ht="12.75">
      <c r="A30">
        <f>ROW(Source!A30)</f>
        <v>30</v>
      </c>
      <c r="B30">
        <v>55656218</v>
      </c>
      <c r="C30">
        <v>55658753</v>
      </c>
      <c r="D30">
        <v>53644840</v>
      </c>
      <c r="E30">
        <v>1</v>
      </c>
      <c r="F30">
        <v>1</v>
      </c>
      <c r="G30">
        <v>1</v>
      </c>
      <c r="H30">
        <v>3</v>
      </c>
      <c r="I30" t="s">
        <v>58</v>
      </c>
      <c r="J30" t="s">
        <v>60</v>
      </c>
      <c r="K30" t="s">
        <v>59</v>
      </c>
      <c r="L30">
        <v>1346</v>
      </c>
      <c r="N30">
        <v>1009</v>
      </c>
      <c r="O30" t="s">
        <v>51</v>
      </c>
      <c r="P30" t="s">
        <v>51</v>
      </c>
      <c r="Q30">
        <v>1</v>
      </c>
      <c r="W30">
        <v>1</v>
      </c>
      <c r="X30">
        <v>-1864341761</v>
      </c>
      <c r="Y30">
        <v>0</v>
      </c>
      <c r="AA30">
        <v>9.04</v>
      </c>
      <c r="AB30">
        <v>0</v>
      </c>
      <c r="AC30">
        <v>0</v>
      </c>
      <c r="AD30">
        <v>0</v>
      </c>
      <c r="AE30">
        <v>9.04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-3.1</v>
      </c>
      <c r="AU30" t="s">
        <v>29</v>
      </c>
      <c r="AV30">
        <v>0</v>
      </c>
      <c r="AW30">
        <v>2</v>
      </c>
      <c r="AX30">
        <v>55658765</v>
      </c>
      <c r="AY30">
        <v>1</v>
      </c>
      <c r="AZ30">
        <v>4096</v>
      </c>
      <c r="BA30">
        <v>38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</v>
      </c>
      <c r="CY30">
        <f t="shared" si="5"/>
        <v>9.04</v>
      </c>
      <c r="CZ30">
        <f t="shared" si="6"/>
        <v>9.04</v>
      </c>
      <c r="DA30">
        <f t="shared" si="7"/>
        <v>1</v>
      </c>
      <c r="DB30">
        <f t="shared" si="8"/>
        <v>0</v>
      </c>
      <c r="DC30">
        <f t="shared" si="9"/>
        <v>0</v>
      </c>
    </row>
    <row r="31" spans="1:107" ht="12.75">
      <c r="A31">
        <f>ROW(Source!A30)</f>
        <v>30</v>
      </c>
      <c r="B31">
        <v>55656218</v>
      </c>
      <c r="C31">
        <v>55658753</v>
      </c>
      <c r="D31">
        <v>53644939</v>
      </c>
      <c r="E31">
        <v>1</v>
      </c>
      <c r="F31">
        <v>1</v>
      </c>
      <c r="G31">
        <v>1</v>
      </c>
      <c r="H31">
        <v>3</v>
      </c>
      <c r="I31" t="s">
        <v>62</v>
      </c>
      <c r="J31" t="s">
        <v>64</v>
      </c>
      <c r="K31" t="s">
        <v>63</v>
      </c>
      <c r="L31">
        <v>1348</v>
      </c>
      <c r="N31">
        <v>1009</v>
      </c>
      <c r="O31" t="s">
        <v>41</v>
      </c>
      <c r="P31" t="s">
        <v>41</v>
      </c>
      <c r="Q31">
        <v>1000</v>
      </c>
      <c r="W31">
        <v>1</v>
      </c>
      <c r="X31">
        <v>-45966985</v>
      </c>
      <c r="Y31">
        <v>0</v>
      </c>
      <c r="AA31">
        <v>11978</v>
      </c>
      <c r="AB31">
        <v>0</v>
      </c>
      <c r="AC31">
        <v>0</v>
      </c>
      <c r="AD31">
        <v>0</v>
      </c>
      <c r="AE31">
        <v>11978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-1E-05</v>
      </c>
      <c r="AU31" t="s">
        <v>29</v>
      </c>
      <c r="AV31">
        <v>0</v>
      </c>
      <c r="AW31">
        <v>2</v>
      </c>
      <c r="AX31">
        <v>55658766</v>
      </c>
      <c r="AY31">
        <v>1</v>
      </c>
      <c r="AZ31">
        <v>4096</v>
      </c>
      <c r="BA31">
        <v>39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Y31*Source!I30</f>
        <v>0</v>
      </c>
      <c r="CY31">
        <f t="shared" si="5"/>
        <v>11978</v>
      </c>
      <c r="CZ31">
        <f t="shared" si="6"/>
        <v>11978</v>
      </c>
      <c r="DA31">
        <f t="shared" si="7"/>
        <v>1</v>
      </c>
      <c r="DB31">
        <f t="shared" si="8"/>
        <v>0</v>
      </c>
      <c r="DC31">
        <f t="shared" si="9"/>
        <v>0</v>
      </c>
    </row>
    <row r="32" spans="1:107" ht="12.75">
      <c r="A32">
        <f>ROW(Source!A30)</f>
        <v>30</v>
      </c>
      <c r="B32">
        <v>55656218</v>
      </c>
      <c r="C32">
        <v>55658753</v>
      </c>
      <c r="D32">
        <v>53646035</v>
      </c>
      <c r="E32">
        <v>1</v>
      </c>
      <c r="F32">
        <v>1</v>
      </c>
      <c r="G32">
        <v>1</v>
      </c>
      <c r="H32">
        <v>3</v>
      </c>
      <c r="I32" t="s">
        <v>66</v>
      </c>
      <c r="J32" t="s">
        <v>68</v>
      </c>
      <c r="K32" t="s">
        <v>67</v>
      </c>
      <c r="L32">
        <v>1348</v>
      </c>
      <c r="N32">
        <v>1009</v>
      </c>
      <c r="O32" t="s">
        <v>41</v>
      </c>
      <c r="P32" t="s">
        <v>41</v>
      </c>
      <c r="Q32">
        <v>1000</v>
      </c>
      <c r="W32">
        <v>1</v>
      </c>
      <c r="X32">
        <v>-1671348935</v>
      </c>
      <c r="Y32">
        <v>0</v>
      </c>
      <c r="AA32">
        <v>37900</v>
      </c>
      <c r="AB32">
        <v>0</v>
      </c>
      <c r="AC32">
        <v>0</v>
      </c>
      <c r="AD32">
        <v>0</v>
      </c>
      <c r="AE32">
        <v>37900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-0.0001</v>
      </c>
      <c r="AU32" t="s">
        <v>29</v>
      </c>
      <c r="AV32">
        <v>0</v>
      </c>
      <c r="AW32">
        <v>2</v>
      </c>
      <c r="AX32">
        <v>55658767</v>
      </c>
      <c r="AY32">
        <v>1</v>
      </c>
      <c r="AZ32">
        <v>4096</v>
      </c>
      <c r="BA32">
        <v>40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Y32*Source!I30</f>
        <v>0</v>
      </c>
      <c r="CY32">
        <f t="shared" si="5"/>
        <v>37900</v>
      </c>
      <c r="CZ32">
        <f t="shared" si="6"/>
        <v>37900</v>
      </c>
      <c r="DA32">
        <f t="shared" si="7"/>
        <v>1</v>
      </c>
      <c r="DB32">
        <f t="shared" si="8"/>
        <v>0</v>
      </c>
      <c r="DC32">
        <f t="shared" si="9"/>
        <v>0</v>
      </c>
    </row>
    <row r="33" spans="1:107" ht="12.75">
      <c r="A33">
        <f>ROW(Source!A30)</f>
        <v>30</v>
      </c>
      <c r="B33">
        <v>55656218</v>
      </c>
      <c r="C33">
        <v>55658753</v>
      </c>
      <c r="D33">
        <v>53659617</v>
      </c>
      <c r="E33">
        <v>1</v>
      </c>
      <c r="F33">
        <v>1</v>
      </c>
      <c r="G33">
        <v>1</v>
      </c>
      <c r="H33">
        <v>3</v>
      </c>
      <c r="I33" t="s">
        <v>70</v>
      </c>
      <c r="J33" t="s">
        <v>72</v>
      </c>
      <c r="K33" t="s">
        <v>71</v>
      </c>
      <c r="L33">
        <v>1348</v>
      </c>
      <c r="N33">
        <v>1009</v>
      </c>
      <c r="O33" t="s">
        <v>41</v>
      </c>
      <c r="P33" t="s">
        <v>41</v>
      </c>
      <c r="Q33">
        <v>1000</v>
      </c>
      <c r="W33">
        <v>1</v>
      </c>
      <c r="X33">
        <v>-1915778085</v>
      </c>
      <c r="Y33">
        <v>0</v>
      </c>
      <c r="AA33">
        <v>7712</v>
      </c>
      <c r="AB33">
        <v>0</v>
      </c>
      <c r="AC33">
        <v>0</v>
      </c>
      <c r="AD33">
        <v>0</v>
      </c>
      <c r="AE33">
        <v>7712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-0.0005</v>
      </c>
      <c r="AU33" t="s">
        <v>29</v>
      </c>
      <c r="AV33">
        <v>0</v>
      </c>
      <c r="AW33">
        <v>2</v>
      </c>
      <c r="AX33">
        <v>55658769</v>
      </c>
      <c r="AY33">
        <v>1</v>
      </c>
      <c r="AZ33">
        <v>4096</v>
      </c>
      <c r="BA33">
        <v>42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</v>
      </c>
      <c r="CY33">
        <f t="shared" si="5"/>
        <v>7712</v>
      </c>
      <c r="CZ33">
        <f t="shared" si="6"/>
        <v>7712</v>
      </c>
      <c r="DA33">
        <f t="shared" si="7"/>
        <v>1</v>
      </c>
      <c r="DB33">
        <f t="shared" si="8"/>
        <v>0</v>
      </c>
      <c r="DC33">
        <f t="shared" si="9"/>
        <v>0</v>
      </c>
    </row>
    <row r="34" spans="1:107" ht="12.75">
      <c r="A34">
        <f>ROW(Source!A30)</f>
        <v>30</v>
      </c>
      <c r="B34">
        <v>55656218</v>
      </c>
      <c r="C34">
        <v>55658753</v>
      </c>
      <c r="D34">
        <v>53661716</v>
      </c>
      <c r="E34">
        <v>1</v>
      </c>
      <c r="F34">
        <v>1</v>
      </c>
      <c r="G34">
        <v>1</v>
      </c>
      <c r="H34">
        <v>3</v>
      </c>
      <c r="I34" t="s">
        <v>74</v>
      </c>
      <c r="J34" t="s">
        <v>77</v>
      </c>
      <c r="K34" t="s">
        <v>75</v>
      </c>
      <c r="L34">
        <v>1302</v>
      </c>
      <c r="N34">
        <v>1003</v>
      </c>
      <c r="O34" t="s">
        <v>76</v>
      </c>
      <c r="P34" t="s">
        <v>76</v>
      </c>
      <c r="Q34">
        <v>10</v>
      </c>
      <c r="W34">
        <v>1</v>
      </c>
      <c r="X34">
        <v>581091037</v>
      </c>
      <c r="Y34">
        <v>0</v>
      </c>
      <c r="AA34">
        <v>50.24</v>
      </c>
      <c r="AB34">
        <v>0</v>
      </c>
      <c r="AC34">
        <v>0</v>
      </c>
      <c r="AD34">
        <v>0</v>
      </c>
      <c r="AE34">
        <v>50.24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-0.0187</v>
      </c>
      <c r="AU34" t="s">
        <v>29</v>
      </c>
      <c r="AV34">
        <v>0</v>
      </c>
      <c r="AW34">
        <v>2</v>
      </c>
      <c r="AX34">
        <v>55658770</v>
      </c>
      <c r="AY34">
        <v>1</v>
      </c>
      <c r="AZ34">
        <v>4096</v>
      </c>
      <c r="BA34">
        <v>43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0</v>
      </c>
      <c r="CY34">
        <f t="shared" si="5"/>
        <v>50.24</v>
      </c>
      <c r="CZ34">
        <f t="shared" si="6"/>
        <v>50.24</v>
      </c>
      <c r="DA34">
        <f t="shared" si="7"/>
        <v>1</v>
      </c>
      <c r="DB34">
        <f t="shared" si="8"/>
        <v>0</v>
      </c>
      <c r="DC34">
        <f t="shared" si="9"/>
        <v>0</v>
      </c>
    </row>
    <row r="35" spans="1:107" ht="12.75">
      <c r="A35">
        <f>ROW(Source!A30)</f>
        <v>30</v>
      </c>
      <c r="B35">
        <v>55656218</v>
      </c>
      <c r="C35">
        <v>55658753</v>
      </c>
      <c r="D35">
        <v>53662071</v>
      </c>
      <c r="E35">
        <v>1</v>
      </c>
      <c r="F35">
        <v>1</v>
      </c>
      <c r="G35">
        <v>1</v>
      </c>
      <c r="H35">
        <v>3</v>
      </c>
      <c r="I35" t="s">
        <v>79</v>
      </c>
      <c r="J35" t="s">
        <v>81</v>
      </c>
      <c r="K35" t="s">
        <v>80</v>
      </c>
      <c r="L35">
        <v>1348</v>
      </c>
      <c r="N35">
        <v>1009</v>
      </c>
      <c r="O35" t="s">
        <v>41</v>
      </c>
      <c r="P35" t="s">
        <v>41</v>
      </c>
      <c r="Q35">
        <v>1000</v>
      </c>
      <c r="W35">
        <v>1</v>
      </c>
      <c r="X35">
        <v>-120483918</v>
      </c>
      <c r="Y35">
        <v>0</v>
      </c>
      <c r="AA35">
        <v>4455.2</v>
      </c>
      <c r="AB35">
        <v>0</v>
      </c>
      <c r="AC35">
        <v>0</v>
      </c>
      <c r="AD35">
        <v>0</v>
      </c>
      <c r="AE35">
        <v>4455.2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-3E-05</v>
      </c>
      <c r="AU35" t="s">
        <v>29</v>
      </c>
      <c r="AV35">
        <v>0</v>
      </c>
      <c r="AW35">
        <v>2</v>
      </c>
      <c r="AX35">
        <v>55658771</v>
      </c>
      <c r="AY35">
        <v>1</v>
      </c>
      <c r="AZ35">
        <v>4096</v>
      </c>
      <c r="BA35">
        <v>44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0</v>
      </c>
      <c r="CY35">
        <f t="shared" si="5"/>
        <v>4455.2</v>
      </c>
      <c r="CZ35">
        <f t="shared" si="6"/>
        <v>4455.2</v>
      </c>
      <c r="DA35">
        <f t="shared" si="7"/>
        <v>1</v>
      </c>
      <c r="DB35">
        <f t="shared" si="8"/>
        <v>0</v>
      </c>
      <c r="DC35">
        <f t="shared" si="9"/>
        <v>0</v>
      </c>
    </row>
    <row r="36" spans="1:107" ht="12.75">
      <c r="A36">
        <f>ROW(Source!A30)</f>
        <v>30</v>
      </c>
      <c r="B36">
        <v>55656218</v>
      </c>
      <c r="C36">
        <v>55658753</v>
      </c>
      <c r="D36">
        <v>53662794</v>
      </c>
      <c r="E36">
        <v>1</v>
      </c>
      <c r="F36">
        <v>1</v>
      </c>
      <c r="G36">
        <v>1</v>
      </c>
      <c r="H36">
        <v>3</v>
      </c>
      <c r="I36" t="s">
        <v>83</v>
      </c>
      <c r="J36" t="s">
        <v>85</v>
      </c>
      <c r="K36" t="s">
        <v>84</v>
      </c>
      <c r="L36">
        <v>1348</v>
      </c>
      <c r="N36">
        <v>1009</v>
      </c>
      <c r="O36" t="s">
        <v>41</v>
      </c>
      <c r="P36" t="s">
        <v>41</v>
      </c>
      <c r="Q36">
        <v>1000</v>
      </c>
      <c r="W36">
        <v>1</v>
      </c>
      <c r="X36">
        <v>834877976</v>
      </c>
      <c r="Y36">
        <v>0</v>
      </c>
      <c r="AA36">
        <v>4920</v>
      </c>
      <c r="AB36">
        <v>0</v>
      </c>
      <c r="AC36">
        <v>0</v>
      </c>
      <c r="AD36">
        <v>0</v>
      </c>
      <c r="AE36">
        <v>4920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-0.00194</v>
      </c>
      <c r="AU36" t="s">
        <v>29</v>
      </c>
      <c r="AV36">
        <v>0</v>
      </c>
      <c r="AW36">
        <v>2</v>
      </c>
      <c r="AX36">
        <v>55658772</v>
      </c>
      <c r="AY36">
        <v>1</v>
      </c>
      <c r="AZ36">
        <v>4096</v>
      </c>
      <c r="BA36">
        <v>45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0</v>
      </c>
      <c r="CY36">
        <f t="shared" si="5"/>
        <v>4920</v>
      </c>
      <c r="CZ36">
        <f t="shared" si="6"/>
        <v>4920</v>
      </c>
      <c r="DA36">
        <f t="shared" si="7"/>
        <v>1</v>
      </c>
      <c r="DB36">
        <f t="shared" si="8"/>
        <v>0</v>
      </c>
      <c r="DC36">
        <f t="shared" si="9"/>
        <v>0</v>
      </c>
    </row>
    <row r="37" spans="1:107" ht="12.75">
      <c r="A37">
        <f>ROW(Source!A30)</f>
        <v>30</v>
      </c>
      <c r="B37">
        <v>55656218</v>
      </c>
      <c r="C37">
        <v>55658753</v>
      </c>
      <c r="D37">
        <v>53666055</v>
      </c>
      <c r="E37">
        <v>1</v>
      </c>
      <c r="F37">
        <v>1</v>
      </c>
      <c r="G37">
        <v>1</v>
      </c>
      <c r="H37">
        <v>3</v>
      </c>
      <c r="I37" t="s">
        <v>87</v>
      </c>
      <c r="J37" t="s">
        <v>89</v>
      </c>
      <c r="K37" t="s">
        <v>88</v>
      </c>
      <c r="L37">
        <v>1339</v>
      </c>
      <c r="N37">
        <v>1007</v>
      </c>
      <c r="O37" t="s">
        <v>46</v>
      </c>
      <c r="P37" t="s">
        <v>46</v>
      </c>
      <c r="Q37">
        <v>1</v>
      </c>
      <c r="W37">
        <v>1</v>
      </c>
      <c r="X37">
        <v>1758287014</v>
      </c>
      <c r="Y37">
        <v>0</v>
      </c>
      <c r="AA37">
        <v>1700</v>
      </c>
      <c r="AB37">
        <v>0</v>
      </c>
      <c r="AC37">
        <v>0</v>
      </c>
      <c r="AD37">
        <v>0</v>
      </c>
      <c r="AE37">
        <v>1700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-0.00103</v>
      </c>
      <c r="AU37" t="s">
        <v>29</v>
      </c>
      <c r="AV37">
        <v>0</v>
      </c>
      <c r="AW37">
        <v>2</v>
      </c>
      <c r="AX37">
        <v>55658773</v>
      </c>
      <c r="AY37">
        <v>1</v>
      </c>
      <c r="AZ37">
        <v>4096</v>
      </c>
      <c r="BA37">
        <v>46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0</v>
      </c>
      <c r="CY37">
        <f t="shared" si="5"/>
        <v>1700</v>
      </c>
      <c r="CZ37">
        <f t="shared" si="6"/>
        <v>1700</v>
      </c>
      <c r="DA37">
        <f t="shared" si="7"/>
        <v>1</v>
      </c>
      <c r="DB37">
        <f t="shared" si="8"/>
        <v>0</v>
      </c>
      <c r="DC37">
        <f t="shared" si="9"/>
        <v>0</v>
      </c>
    </row>
    <row r="38" spans="1:107" ht="12.75">
      <c r="A38">
        <f>ROW(Source!A30)</f>
        <v>30</v>
      </c>
      <c r="B38">
        <v>55656218</v>
      </c>
      <c r="C38">
        <v>55658753</v>
      </c>
      <c r="D38">
        <v>53673673</v>
      </c>
      <c r="E38">
        <v>1</v>
      </c>
      <c r="F38">
        <v>1</v>
      </c>
      <c r="G38">
        <v>1</v>
      </c>
      <c r="H38">
        <v>3</v>
      </c>
      <c r="I38" t="s">
        <v>91</v>
      </c>
      <c r="J38" t="s">
        <v>93</v>
      </c>
      <c r="K38" t="s">
        <v>92</v>
      </c>
      <c r="L38">
        <v>1348</v>
      </c>
      <c r="N38">
        <v>1009</v>
      </c>
      <c r="O38" t="s">
        <v>41</v>
      </c>
      <c r="P38" t="s">
        <v>41</v>
      </c>
      <c r="Q38">
        <v>1000</v>
      </c>
      <c r="W38">
        <v>1</v>
      </c>
      <c r="X38">
        <v>264248573</v>
      </c>
      <c r="Y38">
        <v>0</v>
      </c>
      <c r="AA38">
        <v>15620</v>
      </c>
      <c r="AB38">
        <v>0</v>
      </c>
      <c r="AC38">
        <v>0</v>
      </c>
      <c r="AD38">
        <v>0</v>
      </c>
      <c r="AE38">
        <v>15620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-0.00031</v>
      </c>
      <c r="AU38" t="s">
        <v>29</v>
      </c>
      <c r="AV38">
        <v>0</v>
      </c>
      <c r="AW38">
        <v>2</v>
      </c>
      <c r="AX38">
        <v>55658774</v>
      </c>
      <c r="AY38">
        <v>1</v>
      </c>
      <c r="AZ38">
        <v>4096</v>
      </c>
      <c r="BA38">
        <v>47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Y38*Source!I30</f>
        <v>0</v>
      </c>
      <c r="CY38">
        <f t="shared" si="5"/>
        <v>15620</v>
      </c>
      <c r="CZ38">
        <f t="shared" si="6"/>
        <v>15620</v>
      </c>
      <c r="DA38">
        <f t="shared" si="7"/>
        <v>1</v>
      </c>
      <c r="DB38">
        <f t="shared" si="8"/>
        <v>0</v>
      </c>
      <c r="DC38">
        <f t="shared" si="9"/>
        <v>0</v>
      </c>
    </row>
    <row r="39" spans="1:107" ht="12.75">
      <c r="A39">
        <f>ROW(Source!A30)</f>
        <v>30</v>
      </c>
      <c r="B39">
        <v>55656218</v>
      </c>
      <c r="C39">
        <v>55658753</v>
      </c>
      <c r="D39">
        <v>53674786</v>
      </c>
      <c r="E39">
        <v>1</v>
      </c>
      <c r="F39">
        <v>1</v>
      </c>
      <c r="G39">
        <v>1</v>
      </c>
      <c r="H39">
        <v>3</v>
      </c>
      <c r="I39" t="s">
        <v>95</v>
      </c>
      <c r="J39" t="s">
        <v>97</v>
      </c>
      <c r="K39" t="s">
        <v>96</v>
      </c>
      <c r="L39">
        <v>1346</v>
      </c>
      <c r="N39">
        <v>1009</v>
      </c>
      <c r="O39" t="s">
        <v>51</v>
      </c>
      <c r="P39" t="s">
        <v>51</v>
      </c>
      <c r="Q39">
        <v>1</v>
      </c>
      <c r="W39">
        <v>1</v>
      </c>
      <c r="X39">
        <v>-1449230318</v>
      </c>
      <c r="Y39">
        <v>0</v>
      </c>
      <c r="AA39">
        <v>9.42</v>
      </c>
      <c r="AB39">
        <v>0</v>
      </c>
      <c r="AC39">
        <v>0</v>
      </c>
      <c r="AD39">
        <v>0</v>
      </c>
      <c r="AE39">
        <v>9.42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-0.6</v>
      </c>
      <c r="AU39" t="s">
        <v>29</v>
      </c>
      <c r="AV39">
        <v>0</v>
      </c>
      <c r="AW39">
        <v>2</v>
      </c>
      <c r="AX39">
        <v>55658775</v>
      </c>
      <c r="AY39">
        <v>1</v>
      </c>
      <c r="AZ39">
        <v>4096</v>
      </c>
      <c r="BA39">
        <v>48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Y39*Source!I30</f>
        <v>0</v>
      </c>
      <c r="CY39">
        <f t="shared" si="5"/>
        <v>9.42</v>
      </c>
      <c r="CZ39">
        <f t="shared" si="6"/>
        <v>9.42</v>
      </c>
      <c r="DA39">
        <f t="shared" si="7"/>
        <v>1</v>
      </c>
      <c r="DB39">
        <f t="shared" si="8"/>
        <v>0</v>
      </c>
      <c r="DC39">
        <f t="shared" si="9"/>
        <v>0</v>
      </c>
    </row>
    <row r="40" spans="1:107" ht="12.75">
      <c r="A40">
        <f>ROW(Source!A31)</f>
        <v>31</v>
      </c>
      <c r="B40">
        <v>55657272</v>
      </c>
      <c r="C40">
        <v>55658753</v>
      </c>
      <c r="D40">
        <v>53630125</v>
      </c>
      <c r="E40">
        <v>70</v>
      </c>
      <c r="F40">
        <v>1</v>
      </c>
      <c r="G40">
        <v>1</v>
      </c>
      <c r="H40">
        <v>1</v>
      </c>
      <c r="I40" t="s">
        <v>371</v>
      </c>
      <c r="K40" t="s">
        <v>372</v>
      </c>
      <c r="L40">
        <v>1191</v>
      </c>
      <c r="N40">
        <v>1013</v>
      </c>
      <c r="O40" t="s">
        <v>358</v>
      </c>
      <c r="P40" t="s">
        <v>358</v>
      </c>
      <c r="Q40">
        <v>1</v>
      </c>
      <c r="W40">
        <v>0</v>
      </c>
      <c r="X40">
        <v>-632984526</v>
      </c>
      <c r="Y40">
        <v>10.92</v>
      </c>
      <c r="AA40">
        <v>0</v>
      </c>
      <c r="AB40">
        <v>0</v>
      </c>
      <c r="AC40">
        <v>0</v>
      </c>
      <c r="AD40">
        <v>381.24</v>
      </c>
      <c r="AE40">
        <v>0</v>
      </c>
      <c r="AF40">
        <v>0</v>
      </c>
      <c r="AG40">
        <v>0</v>
      </c>
      <c r="AH40">
        <v>10.21</v>
      </c>
      <c r="AI40">
        <v>1</v>
      </c>
      <c r="AJ40">
        <v>1</v>
      </c>
      <c r="AK40">
        <v>1</v>
      </c>
      <c r="AL40">
        <v>37.34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15.6</v>
      </c>
      <c r="AU40" t="s">
        <v>30</v>
      </c>
      <c r="AV40">
        <v>1</v>
      </c>
      <c r="AW40">
        <v>2</v>
      </c>
      <c r="AX40">
        <v>55658754</v>
      </c>
      <c r="AY40">
        <v>1</v>
      </c>
      <c r="AZ40">
        <v>0</v>
      </c>
      <c r="BA40">
        <v>49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2.184</v>
      </c>
      <c r="CY40">
        <f>AD40</f>
        <v>381.24</v>
      </c>
      <c r="CZ40">
        <f>AH40</f>
        <v>10.21</v>
      </c>
      <c r="DA40">
        <f>AL40</f>
        <v>37.34</v>
      </c>
      <c r="DB40">
        <f aca="true" t="shared" si="10" ref="DB40:DB47">ROUND((ROUND(AT40*CZ40,2)*ROUND(0.7,7)),2)</f>
        <v>111.5</v>
      </c>
      <c r="DC40">
        <f aca="true" t="shared" si="11" ref="DC40:DC47">ROUND((ROUND(AT40*AG40,2)*ROUND(0.7,7)),2)</f>
        <v>0</v>
      </c>
    </row>
    <row r="41" spans="1:107" ht="12.75">
      <c r="A41">
        <f>ROW(Source!A31)</f>
        <v>31</v>
      </c>
      <c r="B41">
        <v>55657272</v>
      </c>
      <c r="C41">
        <v>55658753</v>
      </c>
      <c r="D41">
        <v>53630257</v>
      </c>
      <c r="E41">
        <v>70</v>
      </c>
      <c r="F41">
        <v>1</v>
      </c>
      <c r="G41">
        <v>1</v>
      </c>
      <c r="H41">
        <v>1</v>
      </c>
      <c r="I41" t="s">
        <v>359</v>
      </c>
      <c r="K41" t="s">
        <v>360</v>
      </c>
      <c r="L41">
        <v>1191</v>
      </c>
      <c r="N41">
        <v>1013</v>
      </c>
      <c r="O41" t="s">
        <v>358</v>
      </c>
      <c r="P41" t="s">
        <v>358</v>
      </c>
      <c r="Q41">
        <v>1</v>
      </c>
      <c r="W41">
        <v>0</v>
      </c>
      <c r="X41">
        <v>-1417349443</v>
      </c>
      <c r="Y41">
        <v>2.016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37.34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2.88</v>
      </c>
      <c r="AU41" t="s">
        <v>30</v>
      </c>
      <c r="AV41">
        <v>2</v>
      </c>
      <c r="AW41">
        <v>2</v>
      </c>
      <c r="AX41">
        <v>55658755</v>
      </c>
      <c r="AY41">
        <v>1</v>
      </c>
      <c r="AZ41">
        <v>0</v>
      </c>
      <c r="BA41">
        <v>50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0.4032</v>
      </c>
      <c r="CY41">
        <f>AD41</f>
        <v>0</v>
      </c>
      <c r="CZ41">
        <f>AH41</f>
        <v>0</v>
      </c>
      <c r="DA41">
        <f>AL41</f>
        <v>1</v>
      </c>
      <c r="DB41">
        <f t="shared" si="10"/>
        <v>0</v>
      </c>
      <c r="DC41">
        <f t="shared" si="11"/>
        <v>0</v>
      </c>
    </row>
    <row r="42" spans="1:107" ht="12.75">
      <c r="A42">
        <f>ROW(Source!A31)</f>
        <v>31</v>
      </c>
      <c r="B42">
        <v>55657272</v>
      </c>
      <c r="C42">
        <v>55658753</v>
      </c>
      <c r="D42">
        <v>53791943</v>
      </c>
      <c r="E42">
        <v>1</v>
      </c>
      <c r="F42">
        <v>1</v>
      </c>
      <c r="G42">
        <v>1</v>
      </c>
      <c r="H42">
        <v>2</v>
      </c>
      <c r="I42" t="s">
        <v>373</v>
      </c>
      <c r="J42" t="s">
        <v>374</v>
      </c>
      <c r="K42" t="s">
        <v>375</v>
      </c>
      <c r="L42">
        <v>1367</v>
      </c>
      <c r="N42">
        <v>1011</v>
      </c>
      <c r="O42" t="s">
        <v>364</v>
      </c>
      <c r="P42" t="s">
        <v>364</v>
      </c>
      <c r="Q42">
        <v>1</v>
      </c>
      <c r="W42">
        <v>0</v>
      </c>
      <c r="X42">
        <v>1142032057</v>
      </c>
      <c r="Y42">
        <v>0.476</v>
      </c>
      <c r="AA42">
        <v>0</v>
      </c>
      <c r="AB42">
        <v>4133.66</v>
      </c>
      <c r="AC42">
        <v>575.78</v>
      </c>
      <c r="AD42">
        <v>0</v>
      </c>
      <c r="AE42">
        <v>0</v>
      </c>
      <c r="AF42">
        <v>312.21</v>
      </c>
      <c r="AG42">
        <v>15.42</v>
      </c>
      <c r="AH42">
        <v>0</v>
      </c>
      <c r="AI42">
        <v>1</v>
      </c>
      <c r="AJ42">
        <v>13.24</v>
      </c>
      <c r="AK42">
        <v>37.34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0.68</v>
      </c>
      <c r="AU42" t="s">
        <v>30</v>
      </c>
      <c r="AV42">
        <v>0</v>
      </c>
      <c r="AW42">
        <v>2</v>
      </c>
      <c r="AX42">
        <v>55658756</v>
      </c>
      <c r="AY42">
        <v>1</v>
      </c>
      <c r="AZ42">
        <v>0</v>
      </c>
      <c r="BA42">
        <v>51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0.0952</v>
      </c>
      <c r="CY42">
        <f aca="true" t="shared" si="12" ref="CY42:CY47">AB42</f>
        <v>4133.66</v>
      </c>
      <c r="CZ42">
        <f aca="true" t="shared" si="13" ref="CZ42:CZ47">AF42</f>
        <v>312.21</v>
      </c>
      <c r="DA42">
        <f aca="true" t="shared" si="14" ref="DA42:DA47">AJ42</f>
        <v>13.24</v>
      </c>
      <c r="DB42">
        <f t="shared" si="10"/>
        <v>148.61</v>
      </c>
      <c r="DC42">
        <f t="shared" si="11"/>
        <v>7.34</v>
      </c>
    </row>
    <row r="43" spans="1:107" ht="12.75">
      <c r="A43">
        <f>ROW(Source!A31)</f>
        <v>31</v>
      </c>
      <c r="B43">
        <v>55657272</v>
      </c>
      <c r="C43">
        <v>55658753</v>
      </c>
      <c r="D43">
        <v>53791952</v>
      </c>
      <c r="E43">
        <v>1</v>
      </c>
      <c r="F43">
        <v>1</v>
      </c>
      <c r="G43">
        <v>1</v>
      </c>
      <c r="H43">
        <v>2</v>
      </c>
      <c r="I43" t="s">
        <v>376</v>
      </c>
      <c r="J43" t="s">
        <v>377</v>
      </c>
      <c r="K43" t="s">
        <v>378</v>
      </c>
      <c r="L43">
        <v>1367</v>
      </c>
      <c r="N43">
        <v>1011</v>
      </c>
      <c r="O43" t="s">
        <v>364</v>
      </c>
      <c r="P43" t="s">
        <v>364</v>
      </c>
      <c r="Q43">
        <v>1</v>
      </c>
      <c r="W43">
        <v>0</v>
      </c>
      <c r="X43">
        <v>-163180553</v>
      </c>
      <c r="Y43">
        <v>1.176</v>
      </c>
      <c r="AA43">
        <v>0</v>
      </c>
      <c r="AB43">
        <v>1591.98</v>
      </c>
      <c r="AC43">
        <v>575.78</v>
      </c>
      <c r="AD43">
        <v>0</v>
      </c>
      <c r="AE43">
        <v>0</v>
      </c>
      <c r="AF43">
        <v>120.24</v>
      </c>
      <c r="AG43">
        <v>15.42</v>
      </c>
      <c r="AH43">
        <v>0</v>
      </c>
      <c r="AI43">
        <v>1</v>
      </c>
      <c r="AJ43">
        <v>13.24</v>
      </c>
      <c r="AK43">
        <v>37.34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1.68</v>
      </c>
      <c r="AU43" t="s">
        <v>30</v>
      </c>
      <c r="AV43">
        <v>0</v>
      </c>
      <c r="AW43">
        <v>2</v>
      </c>
      <c r="AX43">
        <v>55658757</v>
      </c>
      <c r="AY43">
        <v>1</v>
      </c>
      <c r="AZ43">
        <v>0</v>
      </c>
      <c r="BA43">
        <v>52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Y43*Source!I31</f>
        <v>0.2352</v>
      </c>
      <c r="CY43">
        <f t="shared" si="12"/>
        <v>1591.98</v>
      </c>
      <c r="CZ43">
        <f t="shared" si="13"/>
        <v>120.24</v>
      </c>
      <c r="DA43">
        <f t="shared" si="14"/>
        <v>13.24</v>
      </c>
      <c r="DB43">
        <f t="shared" si="10"/>
        <v>141.4</v>
      </c>
      <c r="DC43">
        <f t="shared" si="11"/>
        <v>18.14</v>
      </c>
    </row>
    <row r="44" spans="1:107" ht="12.75">
      <c r="A44">
        <f>ROW(Source!A31)</f>
        <v>31</v>
      </c>
      <c r="B44">
        <v>55657272</v>
      </c>
      <c r="C44">
        <v>55658753</v>
      </c>
      <c r="D44">
        <v>53791997</v>
      </c>
      <c r="E44">
        <v>1</v>
      </c>
      <c r="F44">
        <v>1</v>
      </c>
      <c r="G44">
        <v>1</v>
      </c>
      <c r="H44">
        <v>2</v>
      </c>
      <c r="I44" t="s">
        <v>361</v>
      </c>
      <c r="J44" t="s">
        <v>362</v>
      </c>
      <c r="K44" t="s">
        <v>363</v>
      </c>
      <c r="L44">
        <v>1367</v>
      </c>
      <c r="N44">
        <v>1011</v>
      </c>
      <c r="O44" t="s">
        <v>364</v>
      </c>
      <c r="P44" t="s">
        <v>364</v>
      </c>
      <c r="Q44">
        <v>1</v>
      </c>
      <c r="W44">
        <v>0</v>
      </c>
      <c r="X44">
        <v>-430484415</v>
      </c>
      <c r="Y44">
        <v>0.147</v>
      </c>
      <c r="AA44">
        <v>0</v>
      </c>
      <c r="AB44">
        <v>1527.9</v>
      </c>
      <c r="AC44">
        <v>504.09</v>
      </c>
      <c r="AD44">
        <v>0</v>
      </c>
      <c r="AE44">
        <v>0</v>
      </c>
      <c r="AF44">
        <v>115.4</v>
      </c>
      <c r="AG44">
        <v>13.5</v>
      </c>
      <c r="AH44">
        <v>0</v>
      </c>
      <c r="AI44">
        <v>1</v>
      </c>
      <c r="AJ44">
        <v>13.24</v>
      </c>
      <c r="AK44">
        <v>37.34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0.21</v>
      </c>
      <c r="AU44" t="s">
        <v>30</v>
      </c>
      <c r="AV44">
        <v>0</v>
      </c>
      <c r="AW44">
        <v>2</v>
      </c>
      <c r="AX44">
        <v>55658758</v>
      </c>
      <c r="AY44">
        <v>1</v>
      </c>
      <c r="AZ44">
        <v>0</v>
      </c>
      <c r="BA44">
        <v>53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Y44*Source!I31</f>
        <v>0.0294</v>
      </c>
      <c r="CY44">
        <f t="shared" si="12"/>
        <v>1527.9</v>
      </c>
      <c r="CZ44">
        <f t="shared" si="13"/>
        <v>115.4</v>
      </c>
      <c r="DA44">
        <f t="shared" si="14"/>
        <v>13.24</v>
      </c>
      <c r="DB44">
        <f t="shared" si="10"/>
        <v>16.96</v>
      </c>
      <c r="DC44">
        <f t="shared" si="11"/>
        <v>1.99</v>
      </c>
    </row>
    <row r="45" spans="1:107" ht="12.75">
      <c r="A45">
        <f>ROW(Source!A31)</f>
        <v>31</v>
      </c>
      <c r="B45">
        <v>55657272</v>
      </c>
      <c r="C45">
        <v>55658753</v>
      </c>
      <c r="D45">
        <v>53792927</v>
      </c>
      <c r="E45">
        <v>1</v>
      </c>
      <c r="F45">
        <v>1</v>
      </c>
      <c r="G45">
        <v>1</v>
      </c>
      <c r="H45">
        <v>2</v>
      </c>
      <c r="I45" t="s">
        <v>368</v>
      </c>
      <c r="J45" t="s">
        <v>369</v>
      </c>
      <c r="K45" t="s">
        <v>370</v>
      </c>
      <c r="L45">
        <v>1367</v>
      </c>
      <c r="N45">
        <v>1011</v>
      </c>
      <c r="O45" t="s">
        <v>364</v>
      </c>
      <c r="P45" t="s">
        <v>364</v>
      </c>
      <c r="Q45">
        <v>1</v>
      </c>
      <c r="W45">
        <v>0</v>
      </c>
      <c r="X45">
        <v>509054691</v>
      </c>
      <c r="Y45">
        <v>0.217</v>
      </c>
      <c r="AA45">
        <v>0</v>
      </c>
      <c r="AB45">
        <v>870</v>
      </c>
      <c r="AC45">
        <v>433.14</v>
      </c>
      <c r="AD45">
        <v>0</v>
      </c>
      <c r="AE45">
        <v>0</v>
      </c>
      <c r="AF45">
        <v>65.71</v>
      </c>
      <c r="AG45">
        <v>11.6</v>
      </c>
      <c r="AH45">
        <v>0</v>
      </c>
      <c r="AI45">
        <v>1</v>
      </c>
      <c r="AJ45">
        <v>13.24</v>
      </c>
      <c r="AK45">
        <v>37.34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0.31</v>
      </c>
      <c r="AU45" t="s">
        <v>30</v>
      </c>
      <c r="AV45">
        <v>0</v>
      </c>
      <c r="AW45">
        <v>2</v>
      </c>
      <c r="AX45">
        <v>55658759</v>
      </c>
      <c r="AY45">
        <v>1</v>
      </c>
      <c r="AZ45">
        <v>0</v>
      </c>
      <c r="BA45">
        <v>54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Y45*Source!I31</f>
        <v>0.0434</v>
      </c>
      <c r="CY45">
        <f t="shared" si="12"/>
        <v>870</v>
      </c>
      <c r="CZ45">
        <f t="shared" si="13"/>
        <v>65.71</v>
      </c>
      <c r="DA45">
        <f t="shared" si="14"/>
        <v>13.24</v>
      </c>
      <c r="DB45">
        <f t="shared" si="10"/>
        <v>14.26</v>
      </c>
      <c r="DC45">
        <f t="shared" si="11"/>
        <v>2.52</v>
      </c>
    </row>
    <row r="46" spans="1:107" ht="12.75">
      <c r="A46">
        <f>ROW(Source!A31)</f>
        <v>31</v>
      </c>
      <c r="B46">
        <v>55657272</v>
      </c>
      <c r="C46">
        <v>55658753</v>
      </c>
      <c r="D46">
        <v>53793082</v>
      </c>
      <c r="E46">
        <v>1</v>
      </c>
      <c r="F46">
        <v>1</v>
      </c>
      <c r="G46">
        <v>1</v>
      </c>
      <c r="H46">
        <v>2</v>
      </c>
      <c r="I46" t="s">
        <v>379</v>
      </c>
      <c r="J46" t="s">
        <v>380</v>
      </c>
      <c r="K46" t="s">
        <v>381</v>
      </c>
      <c r="L46">
        <v>1367</v>
      </c>
      <c r="N46">
        <v>1011</v>
      </c>
      <c r="O46" t="s">
        <v>364</v>
      </c>
      <c r="P46" t="s">
        <v>364</v>
      </c>
      <c r="Q46">
        <v>1</v>
      </c>
      <c r="W46">
        <v>0</v>
      </c>
      <c r="X46">
        <v>2077867240</v>
      </c>
      <c r="Y46">
        <v>1.666</v>
      </c>
      <c r="AA46">
        <v>0</v>
      </c>
      <c r="AB46">
        <v>15.89</v>
      </c>
      <c r="AC46">
        <v>0</v>
      </c>
      <c r="AD46">
        <v>0</v>
      </c>
      <c r="AE46">
        <v>0</v>
      </c>
      <c r="AF46">
        <v>1.2</v>
      </c>
      <c r="AG46">
        <v>0</v>
      </c>
      <c r="AH46">
        <v>0</v>
      </c>
      <c r="AI46">
        <v>1</v>
      </c>
      <c r="AJ46">
        <v>13.24</v>
      </c>
      <c r="AK46">
        <v>37.34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2.38</v>
      </c>
      <c r="AU46" t="s">
        <v>30</v>
      </c>
      <c r="AV46">
        <v>0</v>
      </c>
      <c r="AW46">
        <v>2</v>
      </c>
      <c r="AX46">
        <v>55658760</v>
      </c>
      <c r="AY46">
        <v>1</v>
      </c>
      <c r="AZ46">
        <v>0</v>
      </c>
      <c r="BA46">
        <v>55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Y46*Source!I31</f>
        <v>0.3332</v>
      </c>
      <c r="CY46">
        <f t="shared" si="12"/>
        <v>15.89</v>
      </c>
      <c r="CZ46">
        <f t="shared" si="13"/>
        <v>1.2</v>
      </c>
      <c r="DA46">
        <f t="shared" si="14"/>
        <v>13.24</v>
      </c>
      <c r="DB46">
        <f t="shared" si="10"/>
        <v>2</v>
      </c>
      <c r="DC46">
        <f t="shared" si="11"/>
        <v>0</v>
      </c>
    </row>
    <row r="47" spans="1:107" ht="12.75">
      <c r="A47">
        <f>ROW(Source!A31)</f>
        <v>31</v>
      </c>
      <c r="B47">
        <v>55657272</v>
      </c>
      <c r="C47">
        <v>55658753</v>
      </c>
      <c r="D47">
        <v>53793125</v>
      </c>
      <c r="E47">
        <v>1</v>
      </c>
      <c r="F47">
        <v>1</v>
      </c>
      <c r="G47">
        <v>1</v>
      </c>
      <c r="H47">
        <v>2</v>
      </c>
      <c r="I47" t="s">
        <v>382</v>
      </c>
      <c r="J47" t="s">
        <v>383</v>
      </c>
      <c r="K47" t="s">
        <v>384</v>
      </c>
      <c r="L47">
        <v>1367</v>
      </c>
      <c r="N47">
        <v>1011</v>
      </c>
      <c r="O47" t="s">
        <v>364</v>
      </c>
      <c r="P47" t="s">
        <v>364</v>
      </c>
      <c r="Q47">
        <v>1</v>
      </c>
      <c r="W47">
        <v>0</v>
      </c>
      <c r="X47">
        <v>-1866313122</v>
      </c>
      <c r="Y47">
        <v>0.33599999999999997</v>
      </c>
      <c r="AA47">
        <v>0</v>
      </c>
      <c r="AB47">
        <v>162.98</v>
      </c>
      <c r="AC47">
        <v>0</v>
      </c>
      <c r="AD47">
        <v>0</v>
      </c>
      <c r="AE47">
        <v>0</v>
      </c>
      <c r="AF47">
        <v>12.31</v>
      </c>
      <c r="AG47">
        <v>0</v>
      </c>
      <c r="AH47">
        <v>0</v>
      </c>
      <c r="AI47">
        <v>1</v>
      </c>
      <c r="AJ47">
        <v>13.24</v>
      </c>
      <c r="AK47">
        <v>37.34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0.48</v>
      </c>
      <c r="AU47" t="s">
        <v>30</v>
      </c>
      <c r="AV47">
        <v>0</v>
      </c>
      <c r="AW47">
        <v>2</v>
      </c>
      <c r="AX47">
        <v>55658761</v>
      </c>
      <c r="AY47">
        <v>1</v>
      </c>
      <c r="AZ47">
        <v>0</v>
      </c>
      <c r="BA47">
        <v>56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Y47*Source!I31</f>
        <v>0.0672</v>
      </c>
      <c r="CY47">
        <f t="shared" si="12"/>
        <v>162.98</v>
      </c>
      <c r="CZ47">
        <f t="shared" si="13"/>
        <v>12.31</v>
      </c>
      <c r="DA47">
        <f t="shared" si="14"/>
        <v>13.24</v>
      </c>
      <c r="DB47">
        <f t="shared" si="10"/>
        <v>4.14</v>
      </c>
      <c r="DC47">
        <f t="shared" si="11"/>
        <v>0</v>
      </c>
    </row>
    <row r="48" spans="1:107" ht="12.75">
      <c r="A48">
        <f>ROW(Source!A31)</f>
        <v>31</v>
      </c>
      <c r="B48">
        <v>55657272</v>
      </c>
      <c r="C48">
        <v>55658753</v>
      </c>
      <c r="D48">
        <v>53640954</v>
      </c>
      <c r="E48">
        <v>1</v>
      </c>
      <c r="F48">
        <v>1</v>
      </c>
      <c r="G48">
        <v>1</v>
      </c>
      <c r="H48">
        <v>3</v>
      </c>
      <c r="I48" t="s">
        <v>44</v>
      </c>
      <c r="J48" t="s">
        <v>47</v>
      </c>
      <c r="K48" t="s">
        <v>45</v>
      </c>
      <c r="L48">
        <v>1339</v>
      </c>
      <c r="N48">
        <v>1007</v>
      </c>
      <c r="O48" t="s">
        <v>46</v>
      </c>
      <c r="P48" t="s">
        <v>46</v>
      </c>
      <c r="Q48">
        <v>1</v>
      </c>
      <c r="W48">
        <v>1</v>
      </c>
      <c r="X48">
        <v>-1761807714</v>
      </c>
      <c r="Y48">
        <v>0</v>
      </c>
      <c r="AA48">
        <v>41.8</v>
      </c>
      <c r="AB48">
        <v>0</v>
      </c>
      <c r="AC48">
        <v>0</v>
      </c>
      <c r="AD48">
        <v>0</v>
      </c>
      <c r="AE48">
        <v>6.22</v>
      </c>
      <c r="AF48">
        <v>0</v>
      </c>
      <c r="AG48">
        <v>0</v>
      </c>
      <c r="AH48">
        <v>0</v>
      </c>
      <c r="AI48">
        <v>6.72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-1.95</v>
      </c>
      <c r="AU48" t="s">
        <v>29</v>
      </c>
      <c r="AV48">
        <v>0</v>
      </c>
      <c r="AW48">
        <v>2</v>
      </c>
      <c r="AX48">
        <v>55658762</v>
      </c>
      <c r="AY48">
        <v>1</v>
      </c>
      <c r="AZ48">
        <v>4096</v>
      </c>
      <c r="BA48">
        <v>57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Y48*Source!I31</f>
        <v>0</v>
      </c>
      <c r="CY48">
        <f aca="true" t="shared" si="15" ref="CY48:CY60">AA48</f>
        <v>41.8</v>
      </c>
      <c r="CZ48">
        <f aca="true" t="shared" si="16" ref="CZ48:CZ60">AE48</f>
        <v>6.22</v>
      </c>
      <c r="DA48">
        <f aca="true" t="shared" si="17" ref="DA48:DA60">AI48</f>
        <v>6.72</v>
      </c>
      <c r="DB48">
        <f aca="true" t="shared" si="18" ref="DB48:DB60">ROUND((ROUND(AT48*CZ48,2)*ROUND(0,7)),2)</f>
        <v>0</v>
      </c>
      <c r="DC48">
        <f aca="true" t="shared" si="19" ref="DC48:DC60">ROUND((ROUND(AT48*AG48,2)*ROUND(0,7)),2)</f>
        <v>0</v>
      </c>
    </row>
    <row r="49" spans="1:107" ht="12.75">
      <c r="A49">
        <f>ROW(Source!A31)</f>
        <v>31</v>
      </c>
      <c r="B49">
        <v>55657272</v>
      </c>
      <c r="C49">
        <v>55658753</v>
      </c>
      <c r="D49">
        <v>53640960</v>
      </c>
      <c r="E49">
        <v>1</v>
      </c>
      <c r="F49">
        <v>1</v>
      </c>
      <c r="G49">
        <v>1</v>
      </c>
      <c r="H49">
        <v>3</v>
      </c>
      <c r="I49" t="s">
        <v>49</v>
      </c>
      <c r="J49" t="s">
        <v>52</v>
      </c>
      <c r="K49" t="s">
        <v>50</v>
      </c>
      <c r="L49">
        <v>1346</v>
      </c>
      <c r="N49">
        <v>1009</v>
      </c>
      <c r="O49" t="s">
        <v>51</v>
      </c>
      <c r="P49" t="s">
        <v>51</v>
      </c>
      <c r="Q49">
        <v>1</v>
      </c>
      <c r="W49">
        <v>1</v>
      </c>
      <c r="X49">
        <v>-2118006079</v>
      </c>
      <c r="Y49">
        <v>0</v>
      </c>
      <c r="AA49">
        <v>40.92</v>
      </c>
      <c r="AB49">
        <v>0</v>
      </c>
      <c r="AC49">
        <v>0</v>
      </c>
      <c r="AD49">
        <v>0</v>
      </c>
      <c r="AE49">
        <v>6.09</v>
      </c>
      <c r="AF49">
        <v>0</v>
      </c>
      <c r="AG49">
        <v>0</v>
      </c>
      <c r="AH49">
        <v>0</v>
      </c>
      <c r="AI49">
        <v>6.72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-0.59</v>
      </c>
      <c r="AU49" t="s">
        <v>29</v>
      </c>
      <c r="AV49">
        <v>0</v>
      </c>
      <c r="AW49">
        <v>2</v>
      </c>
      <c r="AX49">
        <v>55658763</v>
      </c>
      <c r="AY49">
        <v>1</v>
      </c>
      <c r="AZ49">
        <v>4096</v>
      </c>
      <c r="BA49">
        <v>58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Y49*Source!I31</f>
        <v>0</v>
      </c>
      <c r="CY49">
        <f t="shared" si="15"/>
        <v>40.92</v>
      </c>
      <c r="CZ49">
        <f t="shared" si="16"/>
        <v>6.09</v>
      </c>
      <c r="DA49">
        <f t="shared" si="17"/>
        <v>6.72</v>
      </c>
      <c r="DB49">
        <f t="shared" si="18"/>
        <v>0</v>
      </c>
      <c r="DC49">
        <f t="shared" si="19"/>
        <v>0</v>
      </c>
    </row>
    <row r="50" spans="1:107" ht="12.75">
      <c r="A50">
        <f>ROW(Source!A31)</f>
        <v>31</v>
      </c>
      <c r="B50">
        <v>55657272</v>
      </c>
      <c r="C50">
        <v>55658753</v>
      </c>
      <c r="D50">
        <v>53643640</v>
      </c>
      <c r="E50">
        <v>1</v>
      </c>
      <c r="F50">
        <v>1</v>
      </c>
      <c r="G50">
        <v>1</v>
      </c>
      <c r="H50">
        <v>3</v>
      </c>
      <c r="I50" t="s">
        <v>54</v>
      </c>
      <c r="J50" t="s">
        <v>56</v>
      </c>
      <c r="K50" t="s">
        <v>55</v>
      </c>
      <c r="L50">
        <v>1348</v>
      </c>
      <c r="N50">
        <v>1009</v>
      </c>
      <c r="O50" t="s">
        <v>41</v>
      </c>
      <c r="P50" t="s">
        <v>41</v>
      </c>
      <c r="Q50">
        <v>1000</v>
      </c>
      <c r="W50">
        <v>1</v>
      </c>
      <c r="X50">
        <v>1163323608</v>
      </c>
      <c r="Y50">
        <v>0</v>
      </c>
      <c r="AA50">
        <v>69316.87</v>
      </c>
      <c r="AB50">
        <v>0</v>
      </c>
      <c r="AC50">
        <v>0</v>
      </c>
      <c r="AD50">
        <v>0</v>
      </c>
      <c r="AE50">
        <v>10315.01</v>
      </c>
      <c r="AF50">
        <v>0</v>
      </c>
      <c r="AG50">
        <v>0</v>
      </c>
      <c r="AH50">
        <v>0</v>
      </c>
      <c r="AI50">
        <v>6.72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-0.0031</v>
      </c>
      <c r="AU50" t="s">
        <v>29</v>
      </c>
      <c r="AV50">
        <v>0</v>
      </c>
      <c r="AW50">
        <v>2</v>
      </c>
      <c r="AX50">
        <v>55658764</v>
      </c>
      <c r="AY50">
        <v>1</v>
      </c>
      <c r="AZ50">
        <v>4096</v>
      </c>
      <c r="BA50">
        <v>59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Y50*Source!I31</f>
        <v>0</v>
      </c>
      <c r="CY50">
        <f t="shared" si="15"/>
        <v>69316.87</v>
      </c>
      <c r="CZ50">
        <f t="shared" si="16"/>
        <v>10315.01</v>
      </c>
      <c r="DA50">
        <f t="shared" si="17"/>
        <v>6.72</v>
      </c>
      <c r="DB50">
        <f t="shared" si="18"/>
        <v>0</v>
      </c>
      <c r="DC50">
        <f t="shared" si="19"/>
        <v>0</v>
      </c>
    </row>
    <row r="51" spans="1:107" ht="12.75">
      <c r="A51">
        <f>ROW(Source!A31)</f>
        <v>31</v>
      </c>
      <c r="B51">
        <v>55657272</v>
      </c>
      <c r="C51">
        <v>55658753</v>
      </c>
      <c r="D51">
        <v>53644840</v>
      </c>
      <c r="E51">
        <v>1</v>
      </c>
      <c r="F51">
        <v>1</v>
      </c>
      <c r="G51">
        <v>1</v>
      </c>
      <c r="H51">
        <v>3</v>
      </c>
      <c r="I51" t="s">
        <v>58</v>
      </c>
      <c r="J51" t="s">
        <v>60</v>
      </c>
      <c r="K51" t="s">
        <v>59</v>
      </c>
      <c r="L51">
        <v>1346</v>
      </c>
      <c r="N51">
        <v>1009</v>
      </c>
      <c r="O51" t="s">
        <v>51</v>
      </c>
      <c r="P51" t="s">
        <v>51</v>
      </c>
      <c r="Q51">
        <v>1</v>
      </c>
      <c r="W51">
        <v>1</v>
      </c>
      <c r="X51">
        <v>-1864341761</v>
      </c>
      <c r="Y51">
        <v>0</v>
      </c>
      <c r="AA51">
        <v>60.75</v>
      </c>
      <c r="AB51">
        <v>0</v>
      </c>
      <c r="AC51">
        <v>0</v>
      </c>
      <c r="AD51">
        <v>0</v>
      </c>
      <c r="AE51">
        <v>9.04</v>
      </c>
      <c r="AF51">
        <v>0</v>
      </c>
      <c r="AG51">
        <v>0</v>
      </c>
      <c r="AH51">
        <v>0</v>
      </c>
      <c r="AI51">
        <v>6.72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-3.1</v>
      </c>
      <c r="AU51" t="s">
        <v>29</v>
      </c>
      <c r="AV51">
        <v>0</v>
      </c>
      <c r="AW51">
        <v>2</v>
      </c>
      <c r="AX51">
        <v>55658765</v>
      </c>
      <c r="AY51">
        <v>1</v>
      </c>
      <c r="AZ51">
        <v>4096</v>
      </c>
      <c r="BA51">
        <v>60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Y51*Source!I31</f>
        <v>0</v>
      </c>
      <c r="CY51">
        <f t="shared" si="15"/>
        <v>60.75</v>
      </c>
      <c r="CZ51">
        <f t="shared" si="16"/>
        <v>9.04</v>
      </c>
      <c r="DA51">
        <f t="shared" si="17"/>
        <v>6.72</v>
      </c>
      <c r="DB51">
        <f t="shared" si="18"/>
        <v>0</v>
      </c>
      <c r="DC51">
        <f t="shared" si="19"/>
        <v>0</v>
      </c>
    </row>
    <row r="52" spans="1:107" ht="12.75">
      <c r="A52">
        <f>ROW(Source!A31)</f>
        <v>31</v>
      </c>
      <c r="B52">
        <v>55657272</v>
      </c>
      <c r="C52">
        <v>55658753</v>
      </c>
      <c r="D52">
        <v>53644939</v>
      </c>
      <c r="E52">
        <v>1</v>
      </c>
      <c r="F52">
        <v>1</v>
      </c>
      <c r="G52">
        <v>1</v>
      </c>
      <c r="H52">
        <v>3</v>
      </c>
      <c r="I52" t="s">
        <v>62</v>
      </c>
      <c r="J52" t="s">
        <v>64</v>
      </c>
      <c r="K52" t="s">
        <v>63</v>
      </c>
      <c r="L52">
        <v>1348</v>
      </c>
      <c r="N52">
        <v>1009</v>
      </c>
      <c r="O52" t="s">
        <v>41</v>
      </c>
      <c r="P52" t="s">
        <v>41</v>
      </c>
      <c r="Q52">
        <v>1000</v>
      </c>
      <c r="W52">
        <v>1</v>
      </c>
      <c r="X52">
        <v>-45966985</v>
      </c>
      <c r="Y52">
        <v>0</v>
      </c>
      <c r="AA52">
        <v>80492.16</v>
      </c>
      <c r="AB52">
        <v>0</v>
      </c>
      <c r="AC52">
        <v>0</v>
      </c>
      <c r="AD52">
        <v>0</v>
      </c>
      <c r="AE52">
        <v>11978</v>
      </c>
      <c r="AF52">
        <v>0</v>
      </c>
      <c r="AG52">
        <v>0</v>
      </c>
      <c r="AH52">
        <v>0</v>
      </c>
      <c r="AI52">
        <v>6.72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-1E-05</v>
      </c>
      <c r="AU52" t="s">
        <v>29</v>
      </c>
      <c r="AV52">
        <v>0</v>
      </c>
      <c r="AW52">
        <v>2</v>
      </c>
      <c r="AX52">
        <v>55658766</v>
      </c>
      <c r="AY52">
        <v>1</v>
      </c>
      <c r="AZ52">
        <v>4096</v>
      </c>
      <c r="BA52">
        <v>61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Y52*Source!I31</f>
        <v>0</v>
      </c>
      <c r="CY52">
        <f t="shared" si="15"/>
        <v>80492.16</v>
      </c>
      <c r="CZ52">
        <f t="shared" si="16"/>
        <v>11978</v>
      </c>
      <c r="DA52">
        <f t="shared" si="17"/>
        <v>6.72</v>
      </c>
      <c r="DB52">
        <f t="shared" si="18"/>
        <v>0</v>
      </c>
      <c r="DC52">
        <f t="shared" si="19"/>
        <v>0</v>
      </c>
    </row>
    <row r="53" spans="1:107" ht="12.75">
      <c r="A53">
        <f>ROW(Source!A31)</f>
        <v>31</v>
      </c>
      <c r="B53">
        <v>55657272</v>
      </c>
      <c r="C53">
        <v>55658753</v>
      </c>
      <c r="D53">
        <v>53646035</v>
      </c>
      <c r="E53">
        <v>1</v>
      </c>
      <c r="F53">
        <v>1</v>
      </c>
      <c r="G53">
        <v>1</v>
      </c>
      <c r="H53">
        <v>3</v>
      </c>
      <c r="I53" t="s">
        <v>66</v>
      </c>
      <c r="J53" t="s">
        <v>68</v>
      </c>
      <c r="K53" t="s">
        <v>67</v>
      </c>
      <c r="L53">
        <v>1348</v>
      </c>
      <c r="N53">
        <v>1009</v>
      </c>
      <c r="O53" t="s">
        <v>41</v>
      </c>
      <c r="P53" t="s">
        <v>41</v>
      </c>
      <c r="Q53">
        <v>1000</v>
      </c>
      <c r="W53">
        <v>1</v>
      </c>
      <c r="X53">
        <v>-1671348935</v>
      </c>
      <c r="Y53">
        <v>0</v>
      </c>
      <c r="AA53">
        <v>254688</v>
      </c>
      <c r="AB53">
        <v>0</v>
      </c>
      <c r="AC53">
        <v>0</v>
      </c>
      <c r="AD53">
        <v>0</v>
      </c>
      <c r="AE53">
        <v>37900</v>
      </c>
      <c r="AF53">
        <v>0</v>
      </c>
      <c r="AG53">
        <v>0</v>
      </c>
      <c r="AH53">
        <v>0</v>
      </c>
      <c r="AI53">
        <v>6.72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-0.0001</v>
      </c>
      <c r="AU53" t="s">
        <v>29</v>
      </c>
      <c r="AV53">
        <v>0</v>
      </c>
      <c r="AW53">
        <v>2</v>
      </c>
      <c r="AX53">
        <v>55658767</v>
      </c>
      <c r="AY53">
        <v>1</v>
      </c>
      <c r="AZ53">
        <v>4096</v>
      </c>
      <c r="BA53">
        <v>62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Y53*Source!I31</f>
        <v>0</v>
      </c>
      <c r="CY53">
        <f t="shared" si="15"/>
        <v>254688</v>
      </c>
      <c r="CZ53">
        <f t="shared" si="16"/>
        <v>37900</v>
      </c>
      <c r="DA53">
        <f t="shared" si="17"/>
        <v>6.72</v>
      </c>
      <c r="DB53">
        <f t="shared" si="18"/>
        <v>0</v>
      </c>
      <c r="DC53">
        <f t="shared" si="19"/>
        <v>0</v>
      </c>
    </row>
    <row r="54" spans="1:107" ht="12.75">
      <c r="A54">
        <f>ROW(Source!A31)</f>
        <v>31</v>
      </c>
      <c r="B54">
        <v>55657272</v>
      </c>
      <c r="C54">
        <v>55658753</v>
      </c>
      <c r="D54">
        <v>53659617</v>
      </c>
      <c r="E54">
        <v>1</v>
      </c>
      <c r="F54">
        <v>1</v>
      </c>
      <c r="G54">
        <v>1</v>
      </c>
      <c r="H54">
        <v>3</v>
      </c>
      <c r="I54" t="s">
        <v>70</v>
      </c>
      <c r="J54" t="s">
        <v>72</v>
      </c>
      <c r="K54" t="s">
        <v>71</v>
      </c>
      <c r="L54">
        <v>1348</v>
      </c>
      <c r="N54">
        <v>1009</v>
      </c>
      <c r="O54" t="s">
        <v>41</v>
      </c>
      <c r="P54" t="s">
        <v>41</v>
      </c>
      <c r="Q54">
        <v>1000</v>
      </c>
      <c r="W54">
        <v>1</v>
      </c>
      <c r="X54">
        <v>-1915778085</v>
      </c>
      <c r="Y54">
        <v>0</v>
      </c>
      <c r="AA54">
        <v>51824.64</v>
      </c>
      <c r="AB54">
        <v>0</v>
      </c>
      <c r="AC54">
        <v>0</v>
      </c>
      <c r="AD54">
        <v>0</v>
      </c>
      <c r="AE54">
        <v>7712</v>
      </c>
      <c r="AF54">
        <v>0</v>
      </c>
      <c r="AG54">
        <v>0</v>
      </c>
      <c r="AH54">
        <v>0</v>
      </c>
      <c r="AI54">
        <v>6.72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-0.0005</v>
      </c>
      <c r="AU54" t="s">
        <v>29</v>
      </c>
      <c r="AV54">
        <v>0</v>
      </c>
      <c r="AW54">
        <v>2</v>
      </c>
      <c r="AX54">
        <v>55658769</v>
      </c>
      <c r="AY54">
        <v>1</v>
      </c>
      <c r="AZ54">
        <v>4096</v>
      </c>
      <c r="BA54">
        <v>64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Y54*Source!I31</f>
        <v>0</v>
      </c>
      <c r="CY54">
        <f t="shared" si="15"/>
        <v>51824.64</v>
      </c>
      <c r="CZ54">
        <f t="shared" si="16"/>
        <v>7712</v>
      </c>
      <c r="DA54">
        <f t="shared" si="17"/>
        <v>6.72</v>
      </c>
      <c r="DB54">
        <f t="shared" si="18"/>
        <v>0</v>
      </c>
      <c r="DC54">
        <f t="shared" si="19"/>
        <v>0</v>
      </c>
    </row>
    <row r="55" spans="1:107" ht="12.75">
      <c r="A55">
        <f>ROW(Source!A31)</f>
        <v>31</v>
      </c>
      <c r="B55">
        <v>55657272</v>
      </c>
      <c r="C55">
        <v>55658753</v>
      </c>
      <c r="D55">
        <v>53661716</v>
      </c>
      <c r="E55">
        <v>1</v>
      </c>
      <c r="F55">
        <v>1</v>
      </c>
      <c r="G55">
        <v>1</v>
      </c>
      <c r="H55">
        <v>3</v>
      </c>
      <c r="I55" t="s">
        <v>74</v>
      </c>
      <c r="J55" t="s">
        <v>77</v>
      </c>
      <c r="K55" t="s">
        <v>75</v>
      </c>
      <c r="L55">
        <v>1302</v>
      </c>
      <c r="N55">
        <v>1003</v>
      </c>
      <c r="O55" t="s">
        <v>76</v>
      </c>
      <c r="P55" t="s">
        <v>76</v>
      </c>
      <c r="Q55">
        <v>10</v>
      </c>
      <c r="W55">
        <v>1</v>
      </c>
      <c r="X55">
        <v>581091037</v>
      </c>
      <c r="Y55">
        <v>0</v>
      </c>
      <c r="AA55">
        <v>337.61</v>
      </c>
      <c r="AB55">
        <v>0</v>
      </c>
      <c r="AC55">
        <v>0</v>
      </c>
      <c r="AD55">
        <v>0</v>
      </c>
      <c r="AE55">
        <v>50.24</v>
      </c>
      <c r="AF55">
        <v>0</v>
      </c>
      <c r="AG55">
        <v>0</v>
      </c>
      <c r="AH55">
        <v>0</v>
      </c>
      <c r="AI55">
        <v>6.72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-0.0187</v>
      </c>
      <c r="AU55" t="s">
        <v>29</v>
      </c>
      <c r="AV55">
        <v>0</v>
      </c>
      <c r="AW55">
        <v>2</v>
      </c>
      <c r="AX55">
        <v>55658770</v>
      </c>
      <c r="AY55">
        <v>1</v>
      </c>
      <c r="AZ55">
        <v>4096</v>
      </c>
      <c r="BA55">
        <v>65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Y55*Source!I31</f>
        <v>0</v>
      </c>
      <c r="CY55">
        <f t="shared" si="15"/>
        <v>337.61</v>
      </c>
      <c r="CZ55">
        <f t="shared" si="16"/>
        <v>50.24</v>
      </c>
      <c r="DA55">
        <f t="shared" si="17"/>
        <v>6.72</v>
      </c>
      <c r="DB55">
        <f t="shared" si="18"/>
        <v>0</v>
      </c>
      <c r="DC55">
        <f t="shared" si="19"/>
        <v>0</v>
      </c>
    </row>
    <row r="56" spans="1:107" ht="12.75">
      <c r="A56">
        <f>ROW(Source!A31)</f>
        <v>31</v>
      </c>
      <c r="B56">
        <v>55657272</v>
      </c>
      <c r="C56">
        <v>55658753</v>
      </c>
      <c r="D56">
        <v>53662071</v>
      </c>
      <c r="E56">
        <v>1</v>
      </c>
      <c r="F56">
        <v>1</v>
      </c>
      <c r="G56">
        <v>1</v>
      </c>
      <c r="H56">
        <v>3</v>
      </c>
      <c r="I56" t="s">
        <v>79</v>
      </c>
      <c r="J56" t="s">
        <v>81</v>
      </c>
      <c r="K56" t="s">
        <v>80</v>
      </c>
      <c r="L56">
        <v>1348</v>
      </c>
      <c r="N56">
        <v>1009</v>
      </c>
      <c r="O56" t="s">
        <v>41</v>
      </c>
      <c r="P56" t="s">
        <v>41</v>
      </c>
      <c r="Q56">
        <v>1000</v>
      </c>
      <c r="W56">
        <v>1</v>
      </c>
      <c r="X56">
        <v>-120483918</v>
      </c>
      <c r="Y56">
        <v>0</v>
      </c>
      <c r="AA56">
        <v>29938.94</v>
      </c>
      <c r="AB56">
        <v>0</v>
      </c>
      <c r="AC56">
        <v>0</v>
      </c>
      <c r="AD56">
        <v>0</v>
      </c>
      <c r="AE56">
        <v>4455.2</v>
      </c>
      <c r="AF56">
        <v>0</v>
      </c>
      <c r="AG56">
        <v>0</v>
      </c>
      <c r="AH56">
        <v>0</v>
      </c>
      <c r="AI56">
        <v>6.72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-3E-05</v>
      </c>
      <c r="AU56" t="s">
        <v>29</v>
      </c>
      <c r="AV56">
        <v>0</v>
      </c>
      <c r="AW56">
        <v>2</v>
      </c>
      <c r="AX56">
        <v>55658771</v>
      </c>
      <c r="AY56">
        <v>1</v>
      </c>
      <c r="AZ56">
        <v>4096</v>
      </c>
      <c r="BA56">
        <v>66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Y56*Source!I31</f>
        <v>0</v>
      </c>
      <c r="CY56">
        <f t="shared" si="15"/>
        <v>29938.94</v>
      </c>
      <c r="CZ56">
        <f t="shared" si="16"/>
        <v>4455.2</v>
      </c>
      <c r="DA56">
        <f t="shared" si="17"/>
        <v>6.72</v>
      </c>
      <c r="DB56">
        <f t="shared" si="18"/>
        <v>0</v>
      </c>
      <c r="DC56">
        <f t="shared" si="19"/>
        <v>0</v>
      </c>
    </row>
    <row r="57" spans="1:107" ht="12.75">
      <c r="A57">
        <f>ROW(Source!A31)</f>
        <v>31</v>
      </c>
      <c r="B57">
        <v>55657272</v>
      </c>
      <c r="C57">
        <v>55658753</v>
      </c>
      <c r="D57">
        <v>53662794</v>
      </c>
      <c r="E57">
        <v>1</v>
      </c>
      <c r="F57">
        <v>1</v>
      </c>
      <c r="G57">
        <v>1</v>
      </c>
      <c r="H57">
        <v>3</v>
      </c>
      <c r="I57" t="s">
        <v>83</v>
      </c>
      <c r="J57" t="s">
        <v>85</v>
      </c>
      <c r="K57" t="s">
        <v>84</v>
      </c>
      <c r="L57">
        <v>1348</v>
      </c>
      <c r="N57">
        <v>1009</v>
      </c>
      <c r="O57" t="s">
        <v>41</v>
      </c>
      <c r="P57" t="s">
        <v>41</v>
      </c>
      <c r="Q57">
        <v>1000</v>
      </c>
      <c r="W57">
        <v>1</v>
      </c>
      <c r="X57">
        <v>834877976</v>
      </c>
      <c r="Y57">
        <v>0</v>
      </c>
      <c r="AA57">
        <v>33062.4</v>
      </c>
      <c r="AB57">
        <v>0</v>
      </c>
      <c r="AC57">
        <v>0</v>
      </c>
      <c r="AD57">
        <v>0</v>
      </c>
      <c r="AE57">
        <v>4920</v>
      </c>
      <c r="AF57">
        <v>0</v>
      </c>
      <c r="AG57">
        <v>0</v>
      </c>
      <c r="AH57">
        <v>0</v>
      </c>
      <c r="AI57">
        <v>6.72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-0.00194</v>
      </c>
      <c r="AU57" t="s">
        <v>29</v>
      </c>
      <c r="AV57">
        <v>0</v>
      </c>
      <c r="AW57">
        <v>2</v>
      </c>
      <c r="AX57">
        <v>55658772</v>
      </c>
      <c r="AY57">
        <v>1</v>
      </c>
      <c r="AZ57">
        <v>4096</v>
      </c>
      <c r="BA57">
        <v>67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Y57*Source!I31</f>
        <v>0</v>
      </c>
      <c r="CY57">
        <f t="shared" si="15"/>
        <v>33062.4</v>
      </c>
      <c r="CZ57">
        <f t="shared" si="16"/>
        <v>4920</v>
      </c>
      <c r="DA57">
        <f t="shared" si="17"/>
        <v>6.72</v>
      </c>
      <c r="DB57">
        <f t="shared" si="18"/>
        <v>0</v>
      </c>
      <c r="DC57">
        <f t="shared" si="19"/>
        <v>0</v>
      </c>
    </row>
    <row r="58" spans="1:107" ht="12.75">
      <c r="A58">
        <f>ROW(Source!A31)</f>
        <v>31</v>
      </c>
      <c r="B58">
        <v>55657272</v>
      </c>
      <c r="C58">
        <v>55658753</v>
      </c>
      <c r="D58">
        <v>53666055</v>
      </c>
      <c r="E58">
        <v>1</v>
      </c>
      <c r="F58">
        <v>1</v>
      </c>
      <c r="G58">
        <v>1</v>
      </c>
      <c r="H58">
        <v>3</v>
      </c>
      <c r="I58" t="s">
        <v>87</v>
      </c>
      <c r="J58" t="s">
        <v>89</v>
      </c>
      <c r="K58" t="s">
        <v>88</v>
      </c>
      <c r="L58">
        <v>1339</v>
      </c>
      <c r="N58">
        <v>1007</v>
      </c>
      <c r="O58" t="s">
        <v>46</v>
      </c>
      <c r="P58" t="s">
        <v>46</v>
      </c>
      <c r="Q58">
        <v>1</v>
      </c>
      <c r="W58">
        <v>1</v>
      </c>
      <c r="X58">
        <v>1758287014</v>
      </c>
      <c r="Y58">
        <v>0</v>
      </c>
      <c r="AA58">
        <v>11424</v>
      </c>
      <c r="AB58">
        <v>0</v>
      </c>
      <c r="AC58">
        <v>0</v>
      </c>
      <c r="AD58">
        <v>0</v>
      </c>
      <c r="AE58">
        <v>1700</v>
      </c>
      <c r="AF58">
        <v>0</v>
      </c>
      <c r="AG58">
        <v>0</v>
      </c>
      <c r="AH58">
        <v>0</v>
      </c>
      <c r="AI58">
        <v>6.72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-0.00103</v>
      </c>
      <c r="AU58" t="s">
        <v>29</v>
      </c>
      <c r="AV58">
        <v>0</v>
      </c>
      <c r="AW58">
        <v>2</v>
      </c>
      <c r="AX58">
        <v>55658773</v>
      </c>
      <c r="AY58">
        <v>1</v>
      </c>
      <c r="AZ58">
        <v>4096</v>
      </c>
      <c r="BA58">
        <v>68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Y58*Source!I31</f>
        <v>0</v>
      </c>
      <c r="CY58">
        <f t="shared" si="15"/>
        <v>11424</v>
      </c>
      <c r="CZ58">
        <f t="shared" si="16"/>
        <v>1700</v>
      </c>
      <c r="DA58">
        <f t="shared" si="17"/>
        <v>6.72</v>
      </c>
      <c r="DB58">
        <f t="shared" si="18"/>
        <v>0</v>
      </c>
      <c r="DC58">
        <f t="shared" si="19"/>
        <v>0</v>
      </c>
    </row>
    <row r="59" spans="1:107" ht="12.75">
      <c r="A59">
        <f>ROW(Source!A31)</f>
        <v>31</v>
      </c>
      <c r="B59">
        <v>55657272</v>
      </c>
      <c r="C59">
        <v>55658753</v>
      </c>
      <c r="D59">
        <v>53673673</v>
      </c>
      <c r="E59">
        <v>1</v>
      </c>
      <c r="F59">
        <v>1</v>
      </c>
      <c r="G59">
        <v>1</v>
      </c>
      <c r="H59">
        <v>3</v>
      </c>
      <c r="I59" t="s">
        <v>91</v>
      </c>
      <c r="J59" t="s">
        <v>93</v>
      </c>
      <c r="K59" t="s">
        <v>92</v>
      </c>
      <c r="L59">
        <v>1348</v>
      </c>
      <c r="N59">
        <v>1009</v>
      </c>
      <c r="O59" t="s">
        <v>41</v>
      </c>
      <c r="P59" t="s">
        <v>41</v>
      </c>
      <c r="Q59">
        <v>1000</v>
      </c>
      <c r="W59">
        <v>1</v>
      </c>
      <c r="X59">
        <v>264248573</v>
      </c>
      <c r="Y59">
        <v>0</v>
      </c>
      <c r="AA59">
        <v>104966.4</v>
      </c>
      <c r="AB59">
        <v>0</v>
      </c>
      <c r="AC59">
        <v>0</v>
      </c>
      <c r="AD59">
        <v>0</v>
      </c>
      <c r="AE59">
        <v>15620</v>
      </c>
      <c r="AF59">
        <v>0</v>
      </c>
      <c r="AG59">
        <v>0</v>
      </c>
      <c r="AH59">
        <v>0</v>
      </c>
      <c r="AI59">
        <v>6.72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-0.00031</v>
      </c>
      <c r="AU59" t="s">
        <v>29</v>
      </c>
      <c r="AV59">
        <v>0</v>
      </c>
      <c r="AW59">
        <v>2</v>
      </c>
      <c r="AX59">
        <v>55658774</v>
      </c>
      <c r="AY59">
        <v>1</v>
      </c>
      <c r="AZ59">
        <v>4096</v>
      </c>
      <c r="BA59">
        <v>69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Y59*Source!I31</f>
        <v>0</v>
      </c>
      <c r="CY59">
        <f t="shared" si="15"/>
        <v>104966.4</v>
      </c>
      <c r="CZ59">
        <f t="shared" si="16"/>
        <v>15620</v>
      </c>
      <c r="DA59">
        <f t="shared" si="17"/>
        <v>6.72</v>
      </c>
      <c r="DB59">
        <f t="shared" si="18"/>
        <v>0</v>
      </c>
      <c r="DC59">
        <f t="shared" si="19"/>
        <v>0</v>
      </c>
    </row>
    <row r="60" spans="1:107" ht="12.75">
      <c r="A60">
        <f>ROW(Source!A31)</f>
        <v>31</v>
      </c>
      <c r="B60">
        <v>55657272</v>
      </c>
      <c r="C60">
        <v>55658753</v>
      </c>
      <c r="D60">
        <v>53674786</v>
      </c>
      <c r="E60">
        <v>1</v>
      </c>
      <c r="F60">
        <v>1</v>
      </c>
      <c r="G60">
        <v>1</v>
      </c>
      <c r="H60">
        <v>3</v>
      </c>
      <c r="I60" t="s">
        <v>95</v>
      </c>
      <c r="J60" t="s">
        <v>97</v>
      </c>
      <c r="K60" t="s">
        <v>96</v>
      </c>
      <c r="L60">
        <v>1346</v>
      </c>
      <c r="N60">
        <v>1009</v>
      </c>
      <c r="O60" t="s">
        <v>51</v>
      </c>
      <c r="P60" t="s">
        <v>51</v>
      </c>
      <c r="Q60">
        <v>1</v>
      </c>
      <c r="W60">
        <v>1</v>
      </c>
      <c r="X60">
        <v>-1449230318</v>
      </c>
      <c r="Y60">
        <v>0</v>
      </c>
      <c r="AA60">
        <v>63.3</v>
      </c>
      <c r="AB60">
        <v>0</v>
      </c>
      <c r="AC60">
        <v>0</v>
      </c>
      <c r="AD60">
        <v>0</v>
      </c>
      <c r="AE60">
        <v>9.42</v>
      </c>
      <c r="AF60">
        <v>0</v>
      </c>
      <c r="AG60">
        <v>0</v>
      </c>
      <c r="AH60">
        <v>0</v>
      </c>
      <c r="AI60">
        <v>6.72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-0.6</v>
      </c>
      <c r="AU60" t="s">
        <v>29</v>
      </c>
      <c r="AV60">
        <v>0</v>
      </c>
      <c r="AW60">
        <v>2</v>
      </c>
      <c r="AX60">
        <v>55658775</v>
      </c>
      <c r="AY60">
        <v>1</v>
      </c>
      <c r="AZ60">
        <v>4096</v>
      </c>
      <c r="BA60">
        <v>70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Y60*Source!I31</f>
        <v>0</v>
      </c>
      <c r="CY60">
        <f t="shared" si="15"/>
        <v>63.3</v>
      </c>
      <c r="CZ60">
        <f t="shared" si="16"/>
        <v>9.42</v>
      </c>
      <c r="DA60">
        <f t="shared" si="17"/>
        <v>6.72</v>
      </c>
      <c r="DB60">
        <f t="shared" si="18"/>
        <v>0</v>
      </c>
      <c r="DC60">
        <f t="shared" si="19"/>
        <v>0</v>
      </c>
    </row>
    <row r="61" spans="1:107" ht="12.75">
      <c r="A61">
        <f>ROW(Source!A58)</f>
        <v>58</v>
      </c>
      <c r="B61">
        <v>55656218</v>
      </c>
      <c r="C61">
        <v>55658829</v>
      </c>
      <c r="D61">
        <v>37822902</v>
      </c>
      <c r="E61">
        <v>70</v>
      </c>
      <c r="F61">
        <v>1</v>
      </c>
      <c r="G61">
        <v>1</v>
      </c>
      <c r="H61">
        <v>1</v>
      </c>
      <c r="I61" t="s">
        <v>385</v>
      </c>
      <c r="K61" t="s">
        <v>386</v>
      </c>
      <c r="L61">
        <v>1191</v>
      </c>
      <c r="N61">
        <v>1013</v>
      </c>
      <c r="O61" t="s">
        <v>358</v>
      </c>
      <c r="P61" t="s">
        <v>358</v>
      </c>
      <c r="Q61">
        <v>1</v>
      </c>
      <c r="W61">
        <v>0</v>
      </c>
      <c r="X61">
        <v>-1759674247</v>
      </c>
      <c r="Y61">
        <v>202.29999999999998</v>
      </c>
      <c r="AA61">
        <v>0</v>
      </c>
      <c r="AB61">
        <v>0</v>
      </c>
      <c r="AC61">
        <v>0</v>
      </c>
      <c r="AD61">
        <v>8.86</v>
      </c>
      <c r="AE61">
        <v>0</v>
      </c>
      <c r="AF61">
        <v>0</v>
      </c>
      <c r="AG61">
        <v>0</v>
      </c>
      <c r="AH61">
        <v>8.86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289</v>
      </c>
      <c r="AU61" t="s">
        <v>30</v>
      </c>
      <c r="AV61">
        <v>1</v>
      </c>
      <c r="AW61">
        <v>2</v>
      </c>
      <c r="AX61">
        <v>55658836</v>
      </c>
      <c r="AY61">
        <v>1</v>
      </c>
      <c r="AZ61">
        <v>0</v>
      </c>
      <c r="BA61">
        <v>71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Y61*Source!I58</f>
        <v>3.0344999999999995</v>
      </c>
      <c r="CY61">
        <f>AD61</f>
        <v>8.86</v>
      </c>
      <c r="CZ61">
        <f>AH61</f>
        <v>8.86</v>
      </c>
      <c r="DA61">
        <f>AL61</f>
        <v>1</v>
      </c>
      <c r="DB61">
        <f>ROUND((ROUND(AT61*CZ61,2)*ROUND(0.7,7)),2)</f>
        <v>1792.38</v>
      </c>
      <c r="DC61">
        <f>ROUND((ROUND(AT61*AG61,2)*ROUND(0.7,7)),2)</f>
        <v>0</v>
      </c>
    </row>
    <row r="62" spans="1:107" ht="12.75">
      <c r="A62">
        <f>ROW(Source!A58)</f>
        <v>58</v>
      </c>
      <c r="B62">
        <v>55656218</v>
      </c>
      <c r="C62">
        <v>55658829</v>
      </c>
      <c r="D62">
        <v>37822850</v>
      </c>
      <c r="E62">
        <v>70</v>
      </c>
      <c r="F62">
        <v>1</v>
      </c>
      <c r="G62">
        <v>1</v>
      </c>
      <c r="H62">
        <v>1</v>
      </c>
      <c r="I62" t="s">
        <v>359</v>
      </c>
      <c r="K62" t="s">
        <v>360</v>
      </c>
      <c r="L62">
        <v>1191</v>
      </c>
      <c r="N62">
        <v>1013</v>
      </c>
      <c r="O62" t="s">
        <v>358</v>
      </c>
      <c r="P62" t="s">
        <v>358</v>
      </c>
      <c r="Q62">
        <v>1</v>
      </c>
      <c r="W62">
        <v>0</v>
      </c>
      <c r="X62">
        <v>-1417349443</v>
      </c>
      <c r="Y62">
        <v>0.413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0.59</v>
      </c>
      <c r="AU62" t="s">
        <v>30</v>
      </c>
      <c r="AV62">
        <v>2</v>
      </c>
      <c r="AW62">
        <v>2</v>
      </c>
      <c r="AX62">
        <v>55658837</v>
      </c>
      <c r="AY62">
        <v>1</v>
      </c>
      <c r="AZ62">
        <v>0</v>
      </c>
      <c r="BA62">
        <v>72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Y62*Source!I58</f>
        <v>0.006194999999999999</v>
      </c>
      <c r="CY62">
        <f>AD62</f>
        <v>0</v>
      </c>
      <c r="CZ62">
        <f>AH62</f>
        <v>0</v>
      </c>
      <c r="DA62">
        <f>AL62</f>
        <v>1</v>
      </c>
      <c r="DB62">
        <f>ROUND((ROUND(AT62*CZ62,2)*ROUND(0.7,7)),2)</f>
        <v>0</v>
      </c>
      <c r="DC62">
        <f>ROUND((ROUND(AT62*AG62,2)*ROUND(0.7,7)),2)</f>
        <v>0</v>
      </c>
    </row>
    <row r="63" spans="1:107" ht="12.75">
      <c r="A63">
        <f>ROW(Source!A58)</f>
        <v>58</v>
      </c>
      <c r="B63">
        <v>55656218</v>
      </c>
      <c r="C63">
        <v>55658829</v>
      </c>
      <c r="D63">
        <v>53791997</v>
      </c>
      <c r="E63">
        <v>1</v>
      </c>
      <c r="F63">
        <v>1</v>
      </c>
      <c r="G63">
        <v>1</v>
      </c>
      <c r="H63">
        <v>2</v>
      </c>
      <c r="I63" t="s">
        <v>361</v>
      </c>
      <c r="J63" t="s">
        <v>362</v>
      </c>
      <c r="K63" t="s">
        <v>363</v>
      </c>
      <c r="L63">
        <v>1367</v>
      </c>
      <c r="N63">
        <v>1011</v>
      </c>
      <c r="O63" t="s">
        <v>364</v>
      </c>
      <c r="P63" t="s">
        <v>364</v>
      </c>
      <c r="Q63">
        <v>1</v>
      </c>
      <c r="W63">
        <v>0</v>
      </c>
      <c r="X63">
        <v>-430484415</v>
      </c>
      <c r="Y63">
        <v>0.175</v>
      </c>
      <c r="AA63">
        <v>0</v>
      </c>
      <c r="AB63">
        <v>115.4</v>
      </c>
      <c r="AC63">
        <v>13.5</v>
      </c>
      <c r="AD63">
        <v>0</v>
      </c>
      <c r="AE63">
        <v>0</v>
      </c>
      <c r="AF63">
        <v>115.4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0.25</v>
      </c>
      <c r="AU63" t="s">
        <v>30</v>
      </c>
      <c r="AV63">
        <v>0</v>
      </c>
      <c r="AW63">
        <v>2</v>
      </c>
      <c r="AX63">
        <v>55658838</v>
      </c>
      <c r="AY63">
        <v>1</v>
      </c>
      <c r="AZ63">
        <v>0</v>
      </c>
      <c r="BA63">
        <v>73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Y63*Source!I58</f>
        <v>0.0026249999999999997</v>
      </c>
      <c r="CY63">
        <f>AB63</f>
        <v>115.4</v>
      </c>
      <c r="CZ63">
        <f>AF63</f>
        <v>115.4</v>
      </c>
      <c r="DA63">
        <f>AJ63</f>
        <v>1</v>
      </c>
      <c r="DB63">
        <f>ROUND((ROUND(AT63*CZ63,2)*ROUND(0.7,7)),2)</f>
        <v>20.2</v>
      </c>
      <c r="DC63">
        <f>ROUND((ROUND(AT63*AG63,2)*ROUND(0.7,7)),2)</f>
        <v>2.37</v>
      </c>
    </row>
    <row r="64" spans="1:107" ht="12.75">
      <c r="A64">
        <f>ROW(Source!A58)</f>
        <v>58</v>
      </c>
      <c r="B64">
        <v>55656218</v>
      </c>
      <c r="C64">
        <v>55658829</v>
      </c>
      <c r="D64">
        <v>53792927</v>
      </c>
      <c r="E64">
        <v>1</v>
      </c>
      <c r="F64">
        <v>1</v>
      </c>
      <c r="G64">
        <v>1</v>
      </c>
      <c r="H64">
        <v>2</v>
      </c>
      <c r="I64" t="s">
        <v>368</v>
      </c>
      <c r="J64" t="s">
        <v>369</v>
      </c>
      <c r="K64" t="s">
        <v>370</v>
      </c>
      <c r="L64">
        <v>1367</v>
      </c>
      <c r="N64">
        <v>1011</v>
      </c>
      <c r="O64" t="s">
        <v>364</v>
      </c>
      <c r="P64" t="s">
        <v>364</v>
      </c>
      <c r="Q64">
        <v>1</v>
      </c>
      <c r="W64">
        <v>0</v>
      </c>
      <c r="X64">
        <v>509054691</v>
      </c>
      <c r="Y64">
        <v>0.238</v>
      </c>
      <c r="AA64">
        <v>0</v>
      </c>
      <c r="AB64">
        <v>65.71</v>
      </c>
      <c r="AC64">
        <v>11.6</v>
      </c>
      <c r="AD64">
        <v>0</v>
      </c>
      <c r="AE64">
        <v>0</v>
      </c>
      <c r="AF64">
        <v>65.71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0.34</v>
      </c>
      <c r="AU64" t="s">
        <v>30</v>
      </c>
      <c r="AV64">
        <v>0</v>
      </c>
      <c r="AW64">
        <v>2</v>
      </c>
      <c r="AX64">
        <v>55658839</v>
      </c>
      <c r="AY64">
        <v>1</v>
      </c>
      <c r="AZ64">
        <v>0</v>
      </c>
      <c r="BA64">
        <v>74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Y64*Source!I58</f>
        <v>0.00357</v>
      </c>
      <c r="CY64">
        <f>AB64</f>
        <v>65.71</v>
      </c>
      <c r="CZ64">
        <f>AF64</f>
        <v>65.71</v>
      </c>
      <c r="DA64">
        <f>AJ64</f>
        <v>1</v>
      </c>
      <c r="DB64">
        <f>ROUND((ROUND(AT64*CZ64,2)*ROUND(0.7,7)),2)</f>
        <v>15.64</v>
      </c>
      <c r="DC64">
        <f>ROUND((ROUND(AT64*AG64,2)*ROUND(0.7,7)),2)</f>
        <v>2.76</v>
      </c>
    </row>
    <row r="65" spans="1:107" ht="12.75">
      <c r="A65">
        <f>ROW(Source!A58)</f>
        <v>58</v>
      </c>
      <c r="B65">
        <v>55656218</v>
      </c>
      <c r="C65">
        <v>55658829</v>
      </c>
      <c r="D65">
        <v>53659482</v>
      </c>
      <c r="E65">
        <v>1</v>
      </c>
      <c r="F65">
        <v>1</v>
      </c>
      <c r="G65">
        <v>1</v>
      </c>
      <c r="H65">
        <v>3</v>
      </c>
      <c r="I65" t="s">
        <v>107</v>
      </c>
      <c r="J65" t="s">
        <v>110</v>
      </c>
      <c r="K65" t="s">
        <v>108</v>
      </c>
      <c r="L65">
        <v>1371</v>
      </c>
      <c r="N65">
        <v>1013</v>
      </c>
      <c r="O65" t="s">
        <v>109</v>
      </c>
      <c r="P65" t="s">
        <v>109</v>
      </c>
      <c r="Q65">
        <v>1</v>
      </c>
      <c r="W65">
        <v>1</v>
      </c>
      <c r="X65">
        <v>1897660979</v>
      </c>
      <c r="Y65">
        <v>0</v>
      </c>
      <c r="AA65">
        <v>346</v>
      </c>
      <c r="AB65">
        <v>0</v>
      </c>
      <c r="AC65">
        <v>0</v>
      </c>
      <c r="AD65">
        <v>0</v>
      </c>
      <c r="AE65">
        <v>346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-0.01</v>
      </c>
      <c r="AU65" t="s">
        <v>29</v>
      </c>
      <c r="AV65">
        <v>0</v>
      </c>
      <c r="AW65">
        <v>2</v>
      </c>
      <c r="AX65">
        <v>55658840</v>
      </c>
      <c r="AY65">
        <v>1</v>
      </c>
      <c r="AZ65">
        <v>4096</v>
      </c>
      <c r="BA65">
        <v>75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Y65*Source!I58</f>
        <v>0</v>
      </c>
      <c r="CY65">
        <f>AA65</f>
        <v>346</v>
      </c>
      <c r="CZ65">
        <f>AE65</f>
        <v>346</v>
      </c>
      <c r="DA65">
        <f>AI65</f>
        <v>1</v>
      </c>
      <c r="DB65">
        <f>ROUND((ROUND(AT65*CZ65,2)*ROUND(0,7)),2)</f>
        <v>0</v>
      </c>
      <c r="DC65">
        <f>ROUND((ROUND(AT65*AG65,2)*ROUND(0,7)),2)</f>
        <v>0</v>
      </c>
    </row>
    <row r="66" spans="1:107" ht="12.75">
      <c r="A66">
        <f>ROW(Source!A58)</f>
        <v>58</v>
      </c>
      <c r="B66">
        <v>55656218</v>
      </c>
      <c r="C66">
        <v>55658829</v>
      </c>
      <c r="D66">
        <v>53662892</v>
      </c>
      <c r="E66">
        <v>1</v>
      </c>
      <c r="F66">
        <v>1</v>
      </c>
      <c r="G66">
        <v>1</v>
      </c>
      <c r="H66">
        <v>3</v>
      </c>
      <c r="I66" t="s">
        <v>112</v>
      </c>
      <c r="J66" t="s">
        <v>114</v>
      </c>
      <c r="K66" t="s">
        <v>113</v>
      </c>
      <c r="L66">
        <v>1348</v>
      </c>
      <c r="N66">
        <v>1009</v>
      </c>
      <c r="O66" t="s">
        <v>41</v>
      </c>
      <c r="P66" t="s">
        <v>41</v>
      </c>
      <c r="Q66">
        <v>1000</v>
      </c>
      <c r="W66">
        <v>1</v>
      </c>
      <c r="X66">
        <v>-1788787296</v>
      </c>
      <c r="Y66">
        <v>0</v>
      </c>
      <c r="AA66">
        <v>10100</v>
      </c>
      <c r="AB66">
        <v>0</v>
      </c>
      <c r="AC66">
        <v>0</v>
      </c>
      <c r="AD66">
        <v>0</v>
      </c>
      <c r="AE66">
        <v>10100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-1</v>
      </c>
      <c r="AU66" t="s">
        <v>29</v>
      </c>
      <c r="AV66">
        <v>0</v>
      </c>
      <c r="AW66">
        <v>2</v>
      </c>
      <c r="AX66">
        <v>55658841</v>
      </c>
      <c r="AY66">
        <v>1</v>
      </c>
      <c r="AZ66">
        <v>4096</v>
      </c>
      <c r="BA66">
        <v>76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Y66*Source!I58</f>
        <v>0</v>
      </c>
      <c r="CY66">
        <f>AA66</f>
        <v>10100</v>
      </c>
      <c r="CZ66">
        <f>AE66</f>
        <v>10100</v>
      </c>
      <c r="DA66">
        <f>AI66</f>
        <v>1</v>
      </c>
      <c r="DB66">
        <f>ROUND((ROUND(AT66*CZ66,2)*ROUND(0,7)),2)</f>
        <v>0</v>
      </c>
      <c r="DC66">
        <f>ROUND((ROUND(AT66*AG66,2)*ROUND(0,7)),2)</f>
        <v>0</v>
      </c>
    </row>
    <row r="67" spans="1:107" ht="12.75">
      <c r="A67">
        <f>ROW(Source!A59)</f>
        <v>59</v>
      </c>
      <c r="B67">
        <v>55657272</v>
      </c>
      <c r="C67">
        <v>55658829</v>
      </c>
      <c r="D67">
        <v>37822902</v>
      </c>
      <c r="E67">
        <v>70</v>
      </c>
      <c r="F67">
        <v>1</v>
      </c>
      <c r="G67">
        <v>1</v>
      </c>
      <c r="H67">
        <v>1</v>
      </c>
      <c r="I67" t="s">
        <v>385</v>
      </c>
      <c r="K67" t="s">
        <v>386</v>
      </c>
      <c r="L67">
        <v>1191</v>
      </c>
      <c r="N67">
        <v>1013</v>
      </c>
      <c r="O67" t="s">
        <v>358</v>
      </c>
      <c r="P67" t="s">
        <v>358</v>
      </c>
      <c r="Q67">
        <v>1</v>
      </c>
      <c r="W67">
        <v>0</v>
      </c>
      <c r="X67">
        <v>-1759674247</v>
      </c>
      <c r="Y67">
        <v>202.29999999999998</v>
      </c>
      <c r="AA67">
        <v>0</v>
      </c>
      <c r="AB67">
        <v>0</v>
      </c>
      <c r="AC67">
        <v>0</v>
      </c>
      <c r="AD67">
        <v>330.83</v>
      </c>
      <c r="AE67">
        <v>0</v>
      </c>
      <c r="AF67">
        <v>0</v>
      </c>
      <c r="AG67">
        <v>0</v>
      </c>
      <c r="AH67">
        <v>8.86</v>
      </c>
      <c r="AI67">
        <v>1</v>
      </c>
      <c r="AJ67">
        <v>1</v>
      </c>
      <c r="AK67">
        <v>1</v>
      </c>
      <c r="AL67">
        <v>37.34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289</v>
      </c>
      <c r="AU67" t="s">
        <v>30</v>
      </c>
      <c r="AV67">
        <v>1</v>
      </c>
      <c r="AW67">
        <v>2</v>
      </c>
      <c r="AX67">
        <v>55658836</v>
      </c>
      <c r="AY67">
        <v>1</v>
      </c>
      <c r="AZ67">
        <v>0</v>
      </c>
      <c r="BA67">
        <v>77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Y67*Source!I59</f>
        <v>3.0344999999999995</v>
      </c>
      <c r="CY67">
        <f>AD67</f>
        <v>330.83</v>
      </c>
      <c r="CZ67">
        <f>AH67</f>
        <v>8.86</v>
      </c>
      <c r="DA67">
        <f>AL67</f>
        <v>37.34</v>
      </c>
      <c r="DB67">
        <f>ROUND((ROUND(AT67*CZ67,2)*ROUND(0.7,7)),2)</f>
        <v>1792.38</v>
      </c>
      <c r="DC67">
        <f>ROUND((ROUND(AT67*AG67,2)*ROUND(0.7,7)),2)</f>
        <v>0</v>
      </c>
    </row>
    <row r="68" spans="1:107" ht="12.75">
      <c r="A68">
        <f>ROW(Source!A59)</f>
        <v>59</v>
      </c>
      <c r="B68">
        <v>55657272</v>
      </c>
      <c r="C68">
        <v>55658829</v>
      </c>
      <c r="D68">
        <v>37822850</v>
      </c>
      <c r="E68">
        <v>70</v>
      </c>
      <c r="F68">
        <v>1</v>
      </c>
      <c r="G68">
        <v>1</v>
      </c>
      <c r="H68">
        <v>1</v>
      </c>
      <c r="I68" t="s">
        <v>359</v>
      </c>
      <c r="K68" t="s">
        <v>360</v>
      </c>
      <c r="L68">
        <v>1191</v>
      </c>
      <c r="N68">
        <v>1013</v>
      </c>
      <c r="O68" t="s">
        <v>358</v>
      </c>
      <c r="P68" t="s">
        <v>358</v>
      </c>
      <c r="Q68">
        <v>1</v>
      </c>
      <c r="W68">
        <v>0</v>
      </c>
      <c r="X68">
        <v>-1417349443</v>
      </c>
      <c r="Y68">
        <v>0.413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37.34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0.59</v>
      </c>
      <c r="AU68" t="s">
        <v>30</v>
      </c>
      <c r="AV68">
        <v>2</v>
      </c>
      <c r="AW68">
        <v>2</v>
      </c>
      <c r="AX68">
        <v>55658837</v>
      </c>
      <c r="AY68">
        <v>1</v>
      </c>
      <c r="AZ68">
        <v>0</v>
      </c>
      <c r="BA68">
        <v>78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Y68*Source!I59</f>
        <v>0.006194999999999999</v>
      </c>
      <c r="CY68">
        <f>AD68</f>
        <v>0</v>
      </c>
      <c r="CZ68">
        <f>AH68</f>
        <v>0</v>
      </c>
      <c r="DA68">
        <f>AL68</f>
        <v>1</v>
      </c>
      <c r="DB68">
        <f>ROUND((ROUND(AT68*CZ68,2)*ROUND(0.7,7)),2)</f>
        <v>0</v>
      </c>
      <c r="DC68">
        <f>ROUND((ROUND(AT68*AG68,2)*ROUND(0.7,7)),2)</f>
        <v>0</v>
      </c>
    </row>
    <row r="69" spans="1:107" ht="12.75">
      <c r="A69">
        <f>ROW(Source!A59)</f>
        <v>59</v>
      </c>
      <c r="B69">
        <v>55657272</v>
      </c>
      <c r="C69">
        <v>55658829</v>
      </c>
      <c r="D69">
        <v>53791997</v>
      </c>
      <c r="E69">
        <v>1</v>
      </c>
      <c r="F69">
        <v>1</v>
      </c>
      <c r="G69">
        <v>1</v>
      </c>
      <c r="H69">
        <v>2</v>
      </c>
      <c r="I69" t="s">
        <v>361</v>
      </c>
      <c r="J69" t="s">
        <v>362</v>
      </c>
      <c r="K69" t="s">
        <v>363</v>
      </c>
      <c r="L69">
        <v>1367</v>
      </c>
      <c r="N69">
        <v>1011</v>
      </c>
      <c r="O69" t="s">
        <v>364</v>
      </c>
      <c r="P69" t="s">
        <v>364</v>
      </c>
      <c r="Q69">
        <v>1</v>
      </c>
      <c r="W69">
        <v>0</v>
      </c>
      <c r="X69">
        <v>-430484415</v>
      </c>
      <c r="Y69">
        <v>0.175</v>
      </c>
      <c r="AA69">
        <v>0</v>
      </c>
      <c r="AB69">
        <v>1527.9</v>
      </c>
      <c r="AC69">
        <v>504.09</v>
      </c>
      <c r="AD69">
        <v>0</v>
      </c>
      <c r="AE69">
        <v>0</v>
      </c>
      <c r="AF69">
        <v>115.4</v>
      </c>
      <c r="AG69">
        <v>13.5</v>
      </c>
      <c r="AH69">
        <v>0</v>
      </c>
      <c r="AI69">
        <v>1</v>
      </c>
      <c r="AJ69">
        <v>13.24</v>
      </c>
      <c r="AK69">
        <v>37.34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0.25</v>
      </c>
      <c r="AU69" t="s">
        <v>30</v>
      </c>
      <c r="AV69">
        <v>0</v>
      </c>
      <c r="AW69">
        <v>2</v>
      </c>
      <c r="AX69">
        <v>55658838</v>
      </c>
      <c r="AY69">
        <v>1</v>
      </c>
      <c r="AZ69">
        <v>0</v>
      </c>
      <c r="BA69">
        <v>79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Y69*Source!I59</f>
        <v>0.0026249999999999997</v>
      </c>
      <c r="CY69">
        <f>AB69</f>
        <v>1527.9</v>
      </c>
      <c r="CZ69">
        <f>AF69</f>
        <v>115.4</v>
      </c>
      <c r="DA69">
        <f>AJ69</f>
        <v>13.24</v>
      </c>
      <c r="DB69">
        <f>ROUND((ROUND(AT69*CZ69,2)*ROUND(0.7,7)),2)</f>
        <v>20.2</v>
      </c>
      <c r="DC69">
        <f>ROUND((ROUND(AT69*AG69,2)*ROUND(0.7,7)),2)</f>
        <v>2.37</v>
      </c>
    </row>
    <row r="70" spans="1:107" ht="12.75">
      <c r="A70">
        <f>ROW(Source!A59)</f>
        <v>59</v>
      </c>
      <c r="B70">
        <v>55657272</v>
      </c>
      <c r="C70">
        <v>55658829</v>
      </c>
      <c r="D70">
        <v>53792927</v>
      </c>
      <c r="E70">
        <v>1</v>
      </c>
      <c r="F70">
        <v>1</v>
      </c>
      <c r="G70">
        <v>1</v>
      </c>
      <c r="H70">
        <v>2</v>
      </c>
      <c r="I70" t="s">
        <v>368</v>
      </c>
      <c r="J70" t="s">
        <v>369</v>
      </c>
      <c r="K70" t="s">
        <v>370</v>
      </c>
      <c r="L70">
        <v>1367</v>
      </c>
      <c r="N70">
        <v>1011</v>
      </c>
      <c r="O70" t="s">
        <v>364</v>
      </c>
      <c r="P70" t="s">
        <v>364</v>
      </c>
      <c r="Q70">
        <v>1</v>
      </c>
      <c r="W70">
        <v>0</v>
      </c>
      <c r="X70">
        <v>509054691</v>
      </c>
      <c r="Y70">
        <v>0.238</v>
      </c>
      <c r="AA70">
        <v>0</v>
      </c>
      <c r="AB70">
        <v>870</v>
      </c>
      <c r="AC70">
        <v>433.14</v>
      </c>
      <c r="AD70">
        <v>0</v>
      </c>
      <c r="AE70">
        <v>0</v>
      </c>
      <c r="AF70">
        <v>65.71</v>
      </c>
      <c r="AG70">
        <v>11.6</v>
      </c>
      <c r="AH70">
        <v>0</v>
      </c>
      <c r="AI70">
        <v>1</v>
      </c>
      <c r="AJ70">
        <v>13.24</v>
      </c>
      <c r="AK70">
        <v>37.34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0.34</v>
      </c>
      <c r="AU70" t="s">
        <v>30</v>
      </c>
      <c r="AV70">
        <v>0</v>
      </c>
      <c r="AW70">
        <v>2</v>
      </c>
      <c r="AX70">
        <v>55658839</v>
      </c>
      <c r="AY70">
        <v>1</v>
      </c>
      <c r="AZ70">
        <v>0</v>
      </c>
      <c r="BA70">
        <v>80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Y70*Source!I59</f>
        <v>0.00357</v>
      </c>
      <c r="CY70">
        <f>AB70</f>
        <v>870</v>
      </c>
      <c r="CZ70">
        <f>AF70</f>
        <v>65.71</v>
      </c>
      <c r="DA70">
        <f>AJ70</f>
        <v>13.24</v>
      </c>
      <c r="DB70">
        <f>ROUND((ROUND(AT70*CZ70,2)*ROUND(0.7,7)),2)</f>
        <v>15.64</v>
      </c>
      <c r="DC70">
        <f>ROUND((ROUND(AT70*AG70,2)*ROUND(0.7,7)),2)</f>
        <v>2.76</v>
      </c>
    </row>
    <row r="71" spans="1:107" ht="12.75">
      <c r="A71">
        <f>ROW(Source!A59)</f>
        <v>59</v>
      </c>
      <c r="B71">
        <v>55657272</v>
      </c>
      <c r="C71">
        <v>55658829</v>
      </c>
      <c r="D71">
        <v>53659482</v>
      </c>
      <c r="E71">
        <v>1</v>
      </c>
      <c r="F71">
        <v>1</v>
      </c>
      <c r="G71">
        <v>1</v>
      </c>
      <c r="H71">
        <v>3</v>
      </c>
      <c r="I71" t="s">
        <v>107</v>
      </c>
      <c r="J71" t="s">
        <v>110</v>
      </c>
      <c r="K71" t="s">
        <v>108</v>
      </c>
      <c r="L71">
        <v>1371</v>
      </c>
      <c r="N71">
        <v>1013</v>
      </c>
      <c r="O71" t="s">
        <v>109</v>
      </c>
      <c r="P71" t="s">
        <v>109</v>
      </c>
      <c r="Q71">
        <v>1</v>
      </c>
      <c r="W71">
        <v>1</v>
      </c>
      <c r="X71">
        <v>1897660979</v>
      </c>
      <c r="Y71">
        <v>0</v>
      </c>
      <c r="AA71">
        <v>2325.12</v>
      </c>
      <c r="AB71">
        <v>0</v>
      </c>
      <c r="AC71">
        <v>0</v>
      </c>
      <c r="AD71">
        <v>0</v>
      </c>
      <c r="AE71">
        <v>346</v>
      </c>
      <c r="AF71">
        <v>0</v>
      </c>
      <c r="AG71">
        <v>0</v>
      </c>
      <c r="AH71">
        <v>0</v>
      </c>
      <c r="AI71">
        <v>6.72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-0.01</v>
      </c>
      <c r="AU71" t="s">
        <v>29</v>
      </c>
      <c r="AV71">
        <v>0</v>
      </c>
      <c r="AW71">
        <v>2</v>
      </c>
      <c r="AX71">
        <v>55658840</v>
      </c>
      <c r="AY71">
        <v>1</v>
      </c>
      <c r="AZ71">
        <v>4096</v>
      </c>
      <c r="BA71">
        <v>81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Y71*Source!I59</f>
        <v>0</v>
      </c>
      <c r="CY71">
        <f>AA71</f>
        <v>2325.12</v>
      </c>
      <c r="CZ71">
        <f>AE71</f>
        <v>346</v>
      </c>
      <c r="DA71">
        <f>AI71</f>
        <v>6.72</v>
      </c>
      <c r="DB71">
        <f>ROUND((ROUND(AT71*CZ71,2)*ROUND(0,7)),2)</f>
        <v>0</v>
      </c>
      <c r="DC71">
        <f>ROUND((ROUND(AT71*AG71,2)*ROUND(0,7)),2)</f>
        <v>0</v>
      </c>
    </row>
    <row r="72" spans="1:107" ht="12.75">
      <c r="A72">
        <f>ROW(Source!A59)</f>
        <v>59</v>
      </c>
      <c r="B72">
        <v>55657272</v>
      </c>
      <c r="C72">
        <v>55658829</v>
      </c>
      <c r="D72">
        <v>53662892</v>
      </c>
      <c r="E72">
        <v>1</v>
      </c>
      <c r="F72">
        <v>1</v>
      </c>
      <c r="G72">
        <v>1</v>
      </c>
      <c r="H72">
        <v>3</v>
      </c>
      <c r="I72" t="s">
        <v>112</v>
      </c>
      <c r="J72" t="s">
        <v>114</v>
      </c>
      <c r="K72" t="s">
        <v>113</v>
      </c>
      <c r="L72">
        <v>1348</v>
      </c>
      <c r="N72">
        <v>1009</v>
      </c>
      <c r="O72" t="s">
        <v>41</v>
      </c>
      <c r="P72" t="s">
        <v>41</v>
      </c>
      <c r="Q72">
        <v>1000</v>
      </c>
      <c r="W72">
        <v>1</v>
      </c>
      <c r="X72">
        <v>-1788787296</v>
      </c>
      <c r="Y72">
        <v>0</v>
      </c>
      <c r="AA72">
        <v>67872</v>
      </c>
      <c r="AB72">
        <v>0</v>
      </c>
      <c r="AC72">
        <v>0</v>
      </c>
      <c r="AD72">
        <v>0</v>
      </c>
      <c r="AE72">
        <v>10100</v>
      </c>
      <c r="AF72">
        <v>0</v>
      </c>
      <c r="AG72">
        <v>0</v>
      </c>
      <c r="AH72">
        <v>0</v>
      </c>
      <c r="AI72">
        <v>6.72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-1</v>
      </c>
      <c r="AU72" t="s">
        <v>29</v>
      </c>
      <c r="AV72">
        <v>0</v>
      </c>
      <c r="AW72">
        <v>2</v>
      </c>
      <c r="AX72">
        <v>55658841</v>
      </c>
      <c r="AY72">
        <v>1</v>
      </c>
      <c r="AZ72">
        <v>4096</v>
      </c>
      <c r="BA72">
        <v>82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Y72*Source!I59</f>
        <v>0</v>
      </c>
      <c r="CY72">
        <f>AA72</f>
        <v>67872</v>
      </c>
      <c r="CZ72">
        <f>AE72</f>
        <v>10100</v>
      </c>
      <c r="DA72">
        <f>AI72</f>
        <v>6.72</v>
      </c>
      <c r="DB72">
        <f>ROUND((ROUND(AT72*CZ72,2)*ROUND(0,7)),2)</f>
        <v>0</v>
      </c>
      <c r="DC72">
        <f>ROUND((ROUND(AT72*AG72,2)*ROUND(0,7)),2)</f>
        <v>0</v>
      </c>
    </row>
    <row r="73" spans="1:107" ht="12.75">
      <c r="A73">
        <f>ROW(Source!A64)</f>
        <v>64</v>
      </c>
      <c r="B73">
        <v>55656218</v>
      </c>
      <c r="C73">
        <v>55658777</v>
      </c>
      <c r="D73">
        <v>37822923</v>
      </c>
      <c r="E73">
        <v>70</v>
      </c>
      <c r="F73">
        <v>1</v>
      </c>
      <c r="G73">
        <v>1</v>
      </c>
      <c r="H73">
        <v>1</v>
      </c>
      <c r="I73" t="s">
        <v>371</v>
      </c>
      <c r="K73" t="s">
        <v>372</v>
      </c>
      <c r="L73">
        <v>1191</v>
      </c>
      <c r="N73">
        <v>1013</v>
      </c>
      <c r="O73" t="s">
        <v>358</v>
      </c>
      <c r="P73" t="s">
        <v>358</v>
      </c>
      <c r="Q73">
        <v>1</v>
      </c>
      <c r="W73">
        <v>0</v>
      </c>
      <c r="X73">
        <v>-632984526</v>
      </c>
      <c r="Y73">
        <v>17.939999999999998</v>
      </c>
      <c r="AA73">
        <v>0</v>
      </c>
      <c r="AB73">
        <v>0</v>
      </c>
      <c r="AC73">
        <v>0</v>
      </c>
      <c r="AD73">
        <v>10.21</v>
      </c>
      <c r="AE73">
        <v>0</v>
      </c>
      <c r="AF73">
        <v>0</v>
      </c>
      <c r="AG73">
        <v>0</v>
      </c>
      <c r="AH73">
        <v>10.21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15.6</v>
      </c>
      <c r="AU73" t="s">
        <v>118</v>
      </c>
      <c r="AV73">
        <v>1</v>
      </c>
      <c r="AW73">
        <v>2</v>
      </c>
      <c r="AX73">
        <v>55658800</v>
      </c>
      <c r="AY73">
        <v>1</v>
      </c>
      <c r="AZ73">
        <v>0</v>
      </c>
      <c r="BA73">
        <v>83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Y73*Source!I64</f>
        <v>4.305599999999999</v>
      </c>
      <c r="CY73">
        <f>AD73</f>
        <v>10.21</v>
      </c>
      <c r="CZ73">
        <f>AH73</f>
        <v>10.21</v>
      </c>
      <c r="DA73">
        <f>AL73</f>
        <v>1</v>
      </c>
      <c r="DB73">
        <f>ROUND((ROUND(AT73*CZ73,2)*ROUND(1.15,7)),2)</f>
        <v>183.17</v>
      </c>
      <c r="DC73">
        <f>ROUND((ROUND(AT73*AG73,2)*ROUND(1.15,7)),2)</f>
        <v>0</v>
      </c>
    </row>
    <row r="74" spans="1:107" ht="12.75">
      <c r="A74">
        <f>ROW(Source!A64)</f>
        <v>64</v>
      </c>
      <c r="B74">
        <v>55656218</v>
      </c>
      <c r="C74">
        <v>55658777</v>
      </c>
      <c r="D74">
        <v>37822850</v>
      </c>
      <c r="E74">
        <v>70</v>
      </c>
      <c r="F74">
        <v>1</v>
      </c>
      <c r="G74">
        <v>1</v>
      </c>
      <c r="H74">
        <v>1</v>
      </c>
      <c r="I74" t="s">
        <v>359</v>
      </c>
      <c r="K74" t="s">
        <v>360</v>
      </c>
      <c r="L74">
        <v>1191</v>
      </c>
      <c r="N74">
        <v>1013</v>
      </c>
      <c r="O74" t="s">
        <v>358</v>
      </c>
      <c r="P74" t="s">
        <v>358</v>
      </c>
      <c r="Q74">
        <v>1</v>
      </c>
      <c r="W74">
        <v>0</v>
      </c>
      <c r="X74">
        <v>-1417349443</v>
      </c>
      <c r="Y74">
        <v>3.5999999999999996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2.88</v>
      </c>
      <c r="AU74" t="s">
        <v>117</v>
      </c>
      <c r="AV74">
        <v>2</v>
      </c>
      <c r="AW74">
        <v>2</v>
      </c>
      <c r="AX74">
        <v>55658801</v>
      </c>
      <c r="AY74">
        <v>1</v>
      </c>
      <c r="AZ74">
        <v>0</v>
      </c>
      <c r="BA74">
        <v>84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Y74*Source!I64</f>
        <v>0.8639999999999999</v>
      </c>
      <c r="CY74">
        <f>AD74</f>
        <v>0</v>
      </c>
      <c r="CZ74">
        <f>AH74</f>
        <v>0</v>
      </c>
      <c r="DA74">
        <f>AL74</f>
        <v>1</v>
      </c>
      <c r="DB74">
        <f aca="true" t="shared" si="20" ref="DB74:DB80">ROUND((ROUND(AT74*CZ74,2)*ROUND(1.25,7)),2)</f>
        <v>0</v>
      </c>
      <c r="DC74">
        <f aca="true" t="shared" si="21" ref="DC74:DC80">ROUND((ROUND(AT74*AG74,2)*ROUND(1.25,7)),2)</f>
        <v>0</v>
      </c>
    </row>
    <row r="75" spans="1:107" ht="12.75">
      <c r="A75">
        <f>ROW(Source!A64)</f>
        <v>64</v>
      </c>
      <c r="B75">
        <v>55656218</v>
      </c>
      <c r="C75">
        <v>55658777</v>
      </c>
      <c r="D75">
        <v>53791943</v>
      </c>
      <c r="E75">
        <v>1</v>
      </c>
      <c r="F75">
        <v>1</v>
      </c>
      <c r="G75">
        <v>1</v>
      </c>
      <c r="H75">
        <v>2</v>
      </c>
      <c r="I75" t="s">
        <v>373</v>
      </c>
      <c r="J75" t="s">
        <v>374</v>
      </c>
      <c r="K75" t="s">
        <v>375</v>
      </c>
      <c r="L75">
        <v>1367</v>
      </c>
      <c r="N75">
        <v>1011</v>
      </c>
      <c r="O75" t="s">
        <v>364</v>
      </c>
      <c r="P75" t="s">
        <v>364</v>
      </c>
      <c r="Q75">
        <v>1</v>
      </c>
      <c r="W75">
        <v>0</v>
      </c>
      <c r="X75">
        <v>1142032057</v>
      </c>
      <c r="Y75">
        <v>0.8500000000000001</v>
      </c>
      <c r="AA75">
        <v>0</v>
      </c>
      <c r="AB75">
        <v>312.21</v>
      </c>
      <c r="AC75">
        <v>15.42</v>
      </c>
      <c r="AD75">
        <v>0</v>
      </c>
      <c r="AE75">
        <v>0</v>
      </c>
      <c r="AF75">
        <v>312.21</v>
      </c>
      <c r="AG75">
        <v>15.42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0.68</v>
      </c>
      <c r="AU75" t="s">
        <v>117</v>
      </c>
      <c r="AV75">
        <v>0</v>
      </c>
      <c r="AW75">
        <v>2</v>
      </c>
      <c r="AX75">
        <v>55658802</v>
      </c>
      <c r="AY75">
        <v>1</v>
      </c>
      <c r="AZ75">
        <v>0</v>
      </c>
      <c r="BA75">
        <v>85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Y75*Source!I64</f>
        <v>0.20400000000000001</v>
      </c>
      <c r="CY75">
        <f aca="true" t="shared" si="22" ref="CY75:CY80">AB75</f>
        <v>312.21</v>
      </c>
      <c r="CZ75">
        <f aca="true" t="shared" si="23" ref="CZ75:CZ80">AF75</f>
        <v>312.21</v>
      </c>
      <c r="DA75">
        <f aca="true" t="shared" si="24" ref="DA75:DA80">AJ75</f>
        <v>1</v>
      </c>
      <c r="DB75">
        <f t="shared" si="20"/>
        <v>265.38</v>
      </c>
      <c r="DC75">
        <f t="shared" si="21"/>
        <v>13.11</v>
      </c>
    </row>
    <row r="76" spans="1:107" ht="12.75">
      <c r="A76">
        <f>ROW(Source!A64)</f>
        <v>64</v>
      </c>
      <c r="B76">
        <v>55656218</v>
      </c>
      <c r="C76">
        <v>55658777</v>
      </c>
      <c r="D76">
        <v>53791952</v>
      </c>
      <c r="E76">
        <v>1</v>
      </c>
      <c r="F76">
        <v>1</v>
      </c>
      <c r="G76">
        <v>1</v>
      </c>
      <c r="H76">
        <v>2</v>
      </c>
      <c r="I76" t="s">
        <v>376</v>
      </c>
      <c r="J76" t="s">
        <v>377</v>
      </c>
      <c r="K76" t="s">
        <v>378</v>
      </c>
      <c r="L76">
        <v>1367</v>
      </c>
      <c r="N76">
        <v>1011</v>
      </c>
      <c r="O76" t="s">
        <v>364</v>
      </c>
      <c r="P76" t="s">
        <v>364</v>
      </c>
      <c r="Q76">
        <v>1</v>
      </c>
      <c r="W76">
        <v>0</v>
      </c>
      <c r="X76">
        <v>-163180553</v>
      </c>
      <c r="Y76">
        <v>2.1</v>
      </c>
      <c r="AA76">
        <v>0</v>
      </c>
      <c r="AB76">
        <v>120.24</v>
      </c>
      <c r="AC76">
        <v>15.42</v>
      </c>
      <c r="AD76">
        <v>0</v>
      </c>
      <c r="AE76">
        <v>0</v>
      </c>
      <c r="AF76">
        <v>120.24</v>
      </c>
      <c r="AG76">
        <v>15.42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1.68</v>
      </c>
      <c r="AU76" t="s">
        <v>117</v>
      </c>
      <c r="AV76">
        <v>0</v>
      </c>
      <c r="AW76">
        <v>2</v>
      </c>
      <c r="AX76">
        <v>55658803</v>
      </c>
      <c r="AY76">
        <v>1</v>
      </c>
      <c r="AZ76">
        <v>0</v>
      </c>
      <c r="BA76">
        <v>86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Y76*Source!I64</f>
        <v>0.504</v>
      </c>
      <c r="CY76">
        <f t="shared" si="22"/>
        <v>120.24</v>
      </c>
      <c r="CZ76">
        <f t="shared" si="23"/>
        <v>120.24</v>
      </c>
      <c r="DA76">
        <f t="shared" si="24"/>
        <v>1</v>
      </c>
      <c r="DB76">
        <f t="shared" si="20"/>
        <v>252.5</v>
      </c>
      <c r="DC76">
        <f t="shared" si="21"/>
        <v>32.39</v>
      </c>
    </row>
    <row r="77" spans="1:107" ht="12.75">
      <c r="A77">
        <f>ROW(Source!A64)</f>
        <v>64</v>
      </c>
      <c r="B77">
        <v>55656218</v>
      </c>
      <c r="C77">
        <v>55658777</v>
      </c>
      <c r="D77">
        <v>53791997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1367</v>
      </c>
      <c r="N77">
        <v>1011</v>
      </c>
      <c r="O77" t="s">
        <v>364</v>
      </c>
      <c r="P77" t="s">
        <v>364</v>
      </c>
      <c r="Q77">
        <v>1</v>
      </c>
      <c r="W77">
        <v>0</v>
      </c>
      <c r="X77">
        <v>-430484415</v>
      </c>
      <c r="Y77">
        <v>0.2625</v>
      </c>
      <c r="AA77">
        <v>0</v>
      </c>
      <c r="AB77">
        <v>115.4</v>
      </c>
      <c r="AC77">
        <v>13.5</v>
      </c>
      <c r="AD77">
        <v>0</v>
      </c>
      <c r="AE77">
        <v>0</v>
      </c>
      <c r="AF77">
        <v>115.4</v>
      </c>
      <c r="AG77">
        <v>13.5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0.21</v>
      </c>
      <c r="AU77" t="s">
        <v>117</v>
      </c>
      <c r="AV77">
        <v>0</v>
      </c>
      <c r="AW77">
        <v>2</v>
      </c>
      <c r="AX77">
        <v>55658804</v>
      </c>
      <c r="AY77">
        <v>1</v>
      </c>
      <c r="AZ77">
        <v>0</v>
      </c>
      <c r="BA77">
        <v>87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Y77*Source!I64</f>
        <v>0.063</v>
      </c>
      <c r="CY77">
        <f t="shared" si="22"/>
        <v>115.4</v>
      </c>
      <c r="CZ77">
        <f t="shared" si="23"/>
        <v>115.4</v>
      </c>
      <c r="DA77">
        <f t="shared" si="24"/>
        <v>1</v>
      </c>
      <c r="DB77">
        <f t="shared" si="20"/>
        <v>30.29</v>
      </c>
      <c r="DC77">
        <f t="shared" si="21"/>
        <v>3.55</v>
      </c>
    </row>
    <row r="78" spans="1:107" ht="12.75">
      <c r="A78">
        <f>ROW(Source!A64)</f>
        <v>64</v>
      </c>
      <c r="B78">
        <v>55656218</v>
      </c>
      <c r="C78">
        <v>55658777</v>
      </c>
      <c r="D78">
        <v>53792927</v>
      </c>
      <c r="E78">
        <v>1</v>
      </c>
      <c r="F78">
        <v>1</v>
      </c>
      <c r="G78">
        <v>1</v>
      </c>
      <c r="H78">
        <v>2</v>
      </c>
      <c r="I78" t="s">
        <v>368</v>
      </c>
      <c r="J78" t="s">
        <v>369</v>
      </c>
      <c r="K78" t="s">
        <v>370</v>
      </c>
      <c r="L78">
        <v>1367</v>
      </c>
      <c r="N78">
        <v>1011</v>
      </c>
      <c r="O78" t="s">
        <v>364</v>
      </c>
      <c r="P78" t="s">
        <v>364</v>
      </c>
      <c r="Q78">
        <v>1</v>
      </c>
      <c r="W78">
        <v>0</v>
      </c>
      <c r="X78">
        <v>509054691</v>
      </c>
      <c r="Y78">
        <v>0.3875</v>
      </c>
      <c r="AA78">
        <v>0</v>
      </c>
      <c r="AB78">
        <v>65.71</v>
      </c>
      <c r="AC78">
        <v>11.6</v>
      </c>
      <c r="AD78">
        <v>0</v>
      </c>
      <c r="AE78">
        <v>0</v>
      </c>
      <c r="AF78">
        <v>65.71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0.31</v>
      </c>
      <c r="AU78" t="s">
        <v>117</v>
      </c>
      <c r="AV78">
        <v>0</v>
      </c>
      <c r="AW78">
        <v>2</v>
      </c>
      <c r="AX78">
        <v>55658805</v>
      </c>
      <c r="AY78">
        <v>1</v>
      </c>
      <c r="AZ78">
        <v>0</v>
      </c>
      <c r="BA78">
        <v>88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Y78*Source!I64</f>
        <v>0.093</v>
      </c>
      <c r="CY78">
        <f t="shared" si="22"/>
        <v>65.71</v>
      </c>
      <c r="CZ78">
        <f t="shared" si="23"/>
        <v>65.71</v>
      </c>
      <c r="DA78">
        <f t="shared" si="24"/>
        <v>1</v>
      </c>
      <c r="DB78">
        <f t="shared" si="20"/>
        <v>25.46</v>
      </c>
      <c r="DC78">
        <f t="shared" si="21"/>
        <v>4.5</v>
      </c>
    </row>
    <row r="79" spans="1:107" ht="12.75">
      <c r="A79">
        <f>ROW(Source!A64)</f>
        <v>64</v>
      </c>
      <c r="B79">
        <v>55656218</v>
      </c>
      <c r="C79">
        <v>55658777</v>
      </c>
      <c r="D79">
        <v>53793082</v>
      </c>
      <c r="E79">
        <v>1</v>
      </c>
      <c r="F79">
        <v>1</v>
      </c>
      <c r="G79">
        <v>1</v>
      </c>
      <c r="H79">
        <v>2</v>
      </c>
      <c r="I79" t="s">
        <v>379</v>
      </c>
      <c r="J79" t="s">
        <v>380</v>
      </c>
      <c r="K79" t="s">
        <v>381</v>
      </c>
      <c r="L79">
        <v>1367</v>
      </c>
      <c r="N79">
        <v>1011</v>
      </c>
      <c r="O79" t="s">
        <v>364</v>
      </c>
      <c r="P79" t="s">
        <v>364</v>
      </c>
      <c r="Q79">
        <v>1</v>
      </c>
      <c r="W79">
        <v>0</v>
      </c>
      <c r="X79">
        <v>2077867240</v>
      </c>
      <c r="Y79">
        <v>2.9749999999999996</v>
      </c>
      <c r="AA79">
        <v>0</v>
      </c>
      <c r="AB79">
        <v>1.2</v>
      </c>
      <c r="AC79">
        <v>0</v>
      </c>
      <c r="AD79">
        <v>0</v>
      </c>
      <c r="AE79">
        <v>0</v>
      </c>
      <c r="AF79">
        <v>1.2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2.38</v>
      </c>
      <c r="AU79" t="s">
        <v>117</v>
      </c>
      <c r="AV79">
        <v>0</v>
      </c>
      <c r="AW79">
        <v>2</v>
      </c>
      <c r="AX79">
        <v>55658806</v>
      </c>
      <c r="AY79">
        <v>1</v>
      </c>
      <c r="AZ79">
        <v>0</v>
      </c>
      <c r="BA79">
        <v>89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Y79*Source!I64</f>
        <v>0.7139999999999999</v>
      </c>
      <c r="CY79">
        <f t="shared" si="22"/>
        <v>1.2</v>
      </c>
      <c r="CZ79">
        <f t="shared" si="23"/>
        <v>1.2</v>
      </c>
      <c r="DA79">
        <f t="shared" si="24"/>
        <v>1</v>
      </c>
      <c r="DB79">
        <f t="shared" si="20"/>
        <v>3.58</v>
      </c>
      <c r="DC79">
        <f t="shared" si="21"/>
        <v>0</v>
      </c>
    </row>
    <row r="80" spans="1:107" ht="12.75">
      <c r="A80">
        <f>ROW(Source!A64)</f>
        <v>64</v>
      </c>
      <c r="B80">
        <v>55656218</v>
      </c>
      <c r="C80">
        <v>55658777</v>
      </c>
      <c r="D80">
        <v>53793125</v>
      </c>
      <c r="E80">
        <v>1</v>
      </c>
      <c r="F80">
        <v>1</v>
      </c>
      <c r="G80">
        <v>1</v>
      </c>
      <c r="H80">
        <v>2</v>
      </c>
      <c r="I80" t="s">
        <v>382</v>
      </c>
      <c r="J80" t="s">
        <v>383</v>
      </c>
      <c r="K80" t="s">
        <v>384</v>
      </c>
      <c r="L80">
        <v>1367</v>
      </c>
      <c r="N80">
        <v>1011</v>
      </c>
      <c r="O80" t="s">
        <v>364</v>
      </c>
      <c r="P80" t="s">
        <v>364</v>
      </c>
      <c r="Q80">
        <v>1</v>
      </c>
      <c r="W80">
        <v>0</v>
      </c>
      <c r="X80">
        <v>-1866313122</v>
      </c>
      <c r="Y80">
        <v>0.6</v>
      </c>
      <c r="AA80">
        <v>0</v>
      </c>
      <c r="AB80">
        <v>12.31</v>
      </c>
      <c r="AC80">
        <v>0</v>
      </c>
      <c r="AD80">
        <v>0</v>
      </c>
      <c r="AE80">
        <v>0</v>
      </c>
      <c r="AF80">
        <v>12.31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0.48</v>
      </c>
      <c r="AU80" t="s">
        <v>117</v>
      </c>
      <c r="AV80">
        <v>0</v>
      </c>
      <c r="AW80">
        <v>2</v>
      </c>
      <c r="AX80">
        <v>55658807</v>
      </c>
      <c r="AY80">
        <v>1</v>
      </c>
      <c r="AZ80">
        <v>0</v>
      </c>
      <c r="BA80">
        <v>90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Y80*Source!I64</f>
        <v>0.144</v>
      </c>
      <c r="CY80">
        <f t="shared" si="22"/>
        <v>12.31</v>
      </c>
      <c r="CZ80">
        <f t="shared" si="23"/>
        <v>12.31</v>
      </c>
      <c r="DA80">
        <f t="shared" si="24"/>
        <v>1</v>
      </c>
      <c r="DB80">
        <f t="shared" si="20"/>
        <v>7.39</v>
      </c>
      <c r="DC80">
        <f t="shared" si="21"/>
        <v>0</v>
      </c>
    </row>
    <row r="81" spans="1:107" ht="12.75">
      <c r="A81">
        <f>ROW(Source!A64)</f>
        <v>64</v>
      </c>
      <c r="B81">
        <v>55656218</v>
      </c>
      <c r="C81">
        <v>55658777</v>
      </c>
      <c r="D81">
        <v>53640954</v>
      </c>
      <c r="E81">
        <v>1</v>
      </c>
      <c r="F81">
        <v>1</v>
      </c>
      <c r="G81">
        <v>1</v>
      </c>
      <c r="H81">
        <v>3</v>
      </c>
      <c r="I81" t="s">
        <v>44</v>
      </c>
      <c r="J81" t="s">
        <v>47</v>
      </c>
      <c r="K81" t="s">
        <v>45</v>
      </c>
      <c r="L81">
        <v>1339</v>
      </c>
      <c r="N81">
        <v>1007</v>
      </c>
      <c r="O81" t="s">
        <v>46</v>
      </c>
      <c r="P81" t="s">
        <v>46</v>
      </c>
      <c r="Q81">
        <v>1</v>
      </c>
      <c r="W81">
        <v>0</v>
      </c>
      <c r="X81">
        <v>-1761807714</v>
      </c>
      <c r="Y81">
        <v>1.95</v>
      </c>
      <c r="AA81">
        <v>6.22</v>
      </c>
      <c r="AB81">
        <v>0</v>
      </c>
      <c r="AC81">
        <v>0</v>
      </c>
      <c r="AD81">
        <v>0</v>
      </c>
      <c r="AE81">
        <v>6.22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1.95</v>
      </c>
      <c r="AV81">
        <v>0</v>
      </c>
      <c r="AW81">
        <v>2</v>
      </c>
      <c r="AX81">
        <v>55658808</v>
      </c>
      <c r="AY81">
        <v>1</v>
      </c>
      <c r="AZ81">
        <v>0</v>
      </c>
      <c r="BA81">
        <v>91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Y81*Source!I64</f>
        <v>0.46799999999999997</v>
      </c>
      <c r="CY81">
        <f aca="true" t="shared" si="25" ref="CY81:CY94">AA81</f>
        <v>6.22</v>
      </c>
      <c r="CZ81">
        <f aca="true" t="shared" si="26" ref="CZ81:CZ94">AE81</f>
        <v>6.22</v>
      </c>
      <c r="DA81">
        <f aca="true" t="shared" si="27" ref="DA81:DA94">AI81</f>
        <v>1</v>
      </c>
      <c r="DB81">
        <f aca="true" t="shared" si="28" ref="DB81:DB94">ROUND(ROUND(AT81*CZ81,2),2)</f>
        <v>12.13</v>
      </c>
      <c r="DC81">
        <f aca="true" t="shared" si="29" ref="DC81:DC94">ROUND(ROUND(AT81*AG81,2),2)</f>
        <v>0</v>
      </c>
    </row>
    <row r="82" spans="1:107" ht="12.75">
      <c r="A82">
        <f>ROW(Source!A64)</f>
        <v>64</v>
      </c>
      <c r="B82">
        <v>55656218</v>
      </c>
      <c r="C82">
        <v>55658777</v>
      </c>
      <c r="D82">
        <v>53640960</v>
      </c>
      <c r="E82">
        <v>1</v>
      </c>
      <c r="F82">
        <v>1</v>
      </c>
      <c r="G82">
        <v>1</v>
      </c>
      <c r="H82">
        <v>3</v>
      </c>
      <c r="I82" t="s">
        <v>49</v>
      </c>
      <c r="J82" t="s">
        <v>52</v>
      </c>
      <c r="K82" t="s">
        <v>50</v>
      </c>
      <c r="L82">
        <v>1346</v>
      </c>
      <c r="N82">
        <v>1009</v>
      </c>
      <c r="O82" t="s">
        <v>51</v>
      </c>
      <c r="P82" t="s">
        <v>51</v>
      </c>
      <c r="Q82">
        <v>1</v>
      </c>
      <c r="W82">
        <v>0</v>
      </c>
      <c r="X82">
        <v>-2118006079</v>
      </c>
      <c r="Y82">
        <v>0.59</v>
      </c>
      <c r="AA82">
        <v>6.09</v>
      </c>
      <c r="AB82">
        <v>0</v>
      </c>
      <c r="AC82">
        <v>0</v>
      </c>
      <c r="AD82">
        <v>0</v>
      </c>
      <c r="AE82">
        <v>6.09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0.59</v>
      </c>
      <c r="AV82">
        <v>0</v>
      </c>
      <c r="AW82">
        <v>2</v>
      </c>
      <c r="AX82">
        <v>55658809</v>
      </c>
      <c r="AY82">
        <v>1</v>
      </c>
      <c r="AZ82">
        <v>0</v>
      </c>
      <c r="BA82">
        <v>92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Y82*Source!I64</f>
        <v>0.14159999999999998</v>
      </c>
      <c r="CY82">
        <f t="shared" si="25"/>
        <v>6.09</v>
      </c>
      <c r="CZ82">
        <f t="shared" si="26"/>
        <v>6.09</v>
      </c>
      <c r="DA82">
        <f t="shared" si="27"/>
        <v>1</v>
      </c>
      <c r="DB82">
        <f t="shared" si="28"/>
        <v>3.59</v>
      </c>
      <c r="DC82">
        <f t="shared" si="29"/>
        <v>0</v>
      </c>
    </row>
    <row r="83" spans="1:107" ht="12.75">
      <c r="A83">
        <f>ROW(Source!A64)</f>
        <v>64</v>
      </c>
      <c r="B83">
        <v>55656218</v>
      </c>
      <c r="C83">
        <v>55658777</v>
      </c>
      <c r="D83">
        <v>53643640</v>
      </c>
      <c r="E83">
        <v>1</v>
      </c>
      <c r="F83">
        <v>1</v>
      </c>
      <c r="G83">
        <v>1</v>
      </c>
      <c r="H83">
        <v>3</v>
      </c>
      <c r="I83" t="s">
        <v>54</v>
      </c>
      <c r="J83" t="s">
        <v>56</v>
      </c>
      <c r="K83" t="s">
        <v>55</v>
      </c>
      <c r="L83">
        <v>1348</v>
      </c>
      <c r="N83">
        <v>1009</v>
      </c>
      <c r="O83" t="s">
        <v>41</v>
      </c>
      <c r="P83" t="s">
        <v>41</v>
      </c>
      <c r="Q83">
        <v>1000</v>
      </c>
      <c r="W83">
        <v>0</v>
      </c>
      <c r="X83">
        <v>1163323608</v>
      </c>
      <c r="Y83">
        <v>0.0031</v>
      </c>
      <c r="AA83">
        <v>10315.01</v>
      </c>
      <c r="AB83">
        <v>0</v>
      </c>
      <c r="AC83">
        <v>0</v>
      </c>
      <c r="AD83">
        <v>0</v>
      </c>
      <c r="AE83">
        <v>10315.01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0.0031</v>
      </c>
      <c r="AV83">
        <v>0</v>
      </c>
      <c r="AW83">
        <v>2</v>
      </c>
      <c r="AX83">
        <v>55658810</v>
      </c>
      <c r="AY83">
        <v>1</v>
      </c>
      <c r="AZ83">
        <v>0</v>
      </c>
      <c r="BA83">
        <v>93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Y83*Source!I64</f>
        <v>0.000744</v>
      </c>
      <c r="CY83">
        <f t="shared" si="25"/>
        <v>10315.01</v>
      </c>
      <c r="CZ83">
        <f t="shared" si="26"/>
        <v>10315.01</v>
      </c>
      <c r="DA83">
        <f t="shared" si="27"/>
        <v>1</v>
      </c>
      <c r="DB83">
        <f t="shared" si="28"/>
        <v>31.98</v>
      </c>
      <c r="DC83">
        <f t="shared" si="29"/>
        <v>0</v>
      </c>
    </row>
    <row r="84" spans="1:107" ht="12.75">
      <c r="A84">
        <f>ROW(Source!A64)</f>
        <v>64</v>
      </c>
      <c r="B84">
        <v>55656218</v>
      </c>
      <c r="C84">
        <v>55658777</v>
      </c>
      <c r="D84">
        <v>53644840</v>
      </c>
      <c r="E84">
        <v>1</v>
      </c>
      <c r="F84">
        <v>1</v>
      </c>
      <c r="G84">
        <v>1</v>
      </c>
      <c r="H84">
        <v>3</v>
      </c>
      <c r="I84" t="s">
        <v>58</v>
      </c>
      <c r="J84" t="s">
        <v>60</v>
      </c>
      <c r="K84" t="s">
        <v>59</v>
      </c>
      <c r="L84">
        <v>1346</v>
      </c>
      <c r="N84">
        <v>1009</v>
      </c>
      <c r="O84" t="s">
        <v>51</v>
      </c>
      <c r="P84" t="s">
        <v>51</v>
      </c>
      <c r="Q84">
        <v>1</v>
      </c>
      <c r="W84">
        <v>0</v>
      </c>
      <c r="X84">
        <v>-1864341761</v>
      </c>
      <c r="Y84">
        <v>3.1</v>
      </c>
      <c r="AA84">
        <v>9.04</v>
      </c>
      <c r="AB84">
        <v>0</v>
      </c>
      <c r="AC84">
        <v>0</v>
      </c>
      <c r="AD84">
        <v>0</v>
      </c>
      <c r="AE84">
        <v>9.04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3.1</v>
      </c>
      <c r="AV84">
        <v>0</v>
      </c>
      <c r="AW84">
        <v>2</v>
      </c>
      <c r="AX84">
        <v>55658811</v>
      </c>
      <c r="AY84">
        <v>1</v>
      </c>
      <c r="AZ84">
        <v>0</v>
      </c>
      <c r="BA84">
        <v>94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Y84*Source!I64</f>
        <v>0.744</v>
      </c>
      <c r="CY84">
        <f t="shared" si="25"/>
        <v>9.04</v>
      </c>
      <c r="CZ84">
        <f t="shared" si="26"/>
        <v>9.04</v>
      </c>
      <c r="DA84">
        <f t="shared" si="27"/>
        <v>1</v>
      </c>
      <c r="DB84">
        <f t="shared" si="28"/>
        <v>28.02</v>
      </c>
      <c r="DC84">
        <f t="shared" si="29"/>
        <v>0</v>
      </c>
    </row>
    <row r="85" spans="1:107" ht="12.75">
      <c r="A85">
        <f>ROW(Source!A64)</f>
        <v>64</v>
      </c>
      <c r="B85">
        <v>55656218</v>
      </c>
      <c r="C85">
        <v>55658777</v>
      </c>
      <c r="D85">
        <v>53644939</v>
      </c>
      <c r="E85">
        <v>1</v>
      </c>
      <c r="F85">
        <v>1</v>
      </c>
      <c r="G85">
        <v>1</v>
      </c>
      <c r="H85">
        <v>3</v>
      </c>
      <c r="I85" t="s">
        <v>62</v>
      </c>
      <c r="J85" t="s">
        <v>64</v>
      </c>
      <c r="K85" t="s">
        <v>63</v>
      </c>
      <c r="L85">
        <v>1348</v>
      </c>
      <c r="N85">
        <v>1009</v>
      </c>
      <c r="O85" t="s">
        <v>41</v>
      </c>
      <c r="P85" t="s">
        <v>41</v>
      </c>
      <c r="Q85">
        <v>1000</v>
      </c>
      <c r="W85">
        <v>0</v>
      </c>
      <c r="X85">
        <v>-45966985</v>
      </c>
      <c r="Y85">
        <v>1E-05</v>
      </c>
      <c r="AA85">
        <v>11978</v>
      </c>
      <c r="AB85">
        <v>0</v>
      </c>
      <c r="AC85">
        <v>0</v>
      </c>
      <c r="AD85">
        <v>0</v>
      </c>
      <c r="AE85">
        <v>11978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1E-05</v>
      </c>
      <c r="AV85">
        <v>0</v>
      </c>
      <c r="AW85">
        <v>2</v>
      </c>
      <c r="AX85">
        <v>55658812</v>
      </c>
      <c r="AY85">
        <v>1</v>
      </c>
      <c r="AZ85">
        <v>0</v>
      </c>
      <c r="BA85">
        <v>95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Y85*Source!I64</f>
        <v>2.4000000000000003E-06</v>
      </c>
      <c r="CY85">
        <f t="shared" si="25"/>
        <v>11978</v>
      </c>
      <c r="CZ85">
        <f t="shared" si="26"/>
        <v>11978</v>
      </c>
      <c r="DA85">
        <f t="shared" si="27"/>
        <v>1</v>
      </c>
      <c r="DB85">
        <f t="shared" si="28"/>
        <v>0.12</v>
      </c>
      <c r="DC85">
        <f t="shared" si="29"/>
        <v>0</v>
      </c>
    </row>
    <row r="86" spans="1:107" ht="12.75">
      <c r="A86">
        <f>ROW(Source!A64)</f>
        <v>64</v>
      </c>
      <c r="B86">
        <v>55656218</v>
      </c>
      <c r="C86">
        <v>55658777</v>
      </c>
      <c r="D86">
        <v>53646035</v>
      </c>
      <c r="E86">
        <v>1</v>
      </c>
      <c r="F86">
        <v>1</v>
      </c>
      <c r="G86">
        <v>1</v>
      </c>
      <c r="H86">
        <v>3</v>
      </c>
      <c r="I86" t="s">
        <v>66</v>
      </c>
      <c r="J86" t="s">
        <v>68</v>
      </c>
      <c r="K86" t="s">
        <v>67</v>
      </c>
      <c r="L86">
        <v>1348</v>
      </c>
      <c r="N86">
        <v>1009</v>
      </c>
      <c r="O86" t="s">
        <v>41</v>
      </c>
      <c r="P86" t="s">
        <v>41</v>
      </c>
      <c r="Q86">
        <v>1000</v>
      </c>
      <c r="W86">
        <v>0</v>
      </c>
      <c r="X86">
        <v>-1671348935</v>
      </c>
      <c r="Y86">
        <v>0.0001</v>
      </c>
      <c r="AA86">
        <v>37900</v>
      </c>
      <c r="AB86">
        <v>0</v>
      </c>
      <c r="AC86">
        <v>0</v>
      </c>
      <c r="AD86">
        <v>0</v>
      </c>
      <c r="AE86">
        <v>37900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0.0001</v>
      </c>
      <c r="AV86">
        <v>0</v>
      </c>
      <c r="AW86">
        <v>2</v>
      </c>
      <c r="AX86">
        <v>55658813</v>
      </c>
      <c r="AY86">
        <v>1</v>
      </c>
      <c r="AZ86">
        <v>0</v>
      </c>
      <c r="BA86">
        <v>96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Y86*Source!I64</f>
        <v>2.4E-05</v>
      </c>
      <c r="CY86">
        <f t="shared" si="25"/>
        <v>37900</v>
      </c>
      <c r="CZ86">
        <f t="shared" si="26"/>
        <v>37900</v>
      </c>
      <c r="DA86">
        <f t="shared" si="27"/>
        <v>1</v>
      </c>
      <c r="DB86">
        <f t="shared" si="28"/>
        <v>3.79</v>
      </c>
      <c r="DC86">
        <f t="shared" si="29"/>
        <v>0</v>
      </c>
    </row>
    <row r="87" spans="1:107" ht="12.75">
      <c r="A87">
        <f>ROW(Source!A64)</f>
        <v>64</v>
      </c>
      <c r="B87">
        <v>55656218</v>
      </c>
      <c r="C87">
        <v>55658777</v>
      </c>
      <c r="D87">
        <v>53659606</v>
      </c>
      <c r="E87">
        <v>1</v>
      </c>
      <c r="F87">
        <v>1</v>
      </c>
      <c r="G87">
        <v>1</v>
      </c>
      <c r="H87">
        <v>3</v>
      </c>
      <c r="I87" t="s">
        <v>122</v>
      </c>
      <c r="J87" t="s">
        <v>124</v>
      </c>
      <c r="K87" t="s">
        <v>123</v>
      </c>
      <c r="L87">
        <v>1348</v>
      </c>
      <c r="N87">
        <v>1009</v>
      </c>
      <c r="O87" t="s">
        <v>41</v>
      </c>
      <c r="P87" t="s">
        <v>41</v>
      </c>
      <c r="Q87">
        <v>1000</v>
      </c>
      <c r="W87">
        <v>0</v>
      </c>
      <c r="X87">
        <v>1291136343</v>
      </c>
      <c r="Y87">
        <v>1</v>
      </c>
      <c r="AA87">
        <v>9323.19</v>
      </c>
      <c r="AB87">
        <v>0</v>
      </c>
      <c r="AC87">
        <v>0</v>
      </c>
      <c r="AD87">
        <v>0</v>
      </c>
      <c r="AE87">
        <v>9323.19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T87">
        <v>1</v>
      </c>
      <c r="AV87">
        <v>0</v>
      </c>
      <c r="AW87">
        <v>1</v>
      </c>
      <c r="AX87">
        <v>-1</v>
      </c>
      <c r="AY87">
        <v>0</v>
      </c>
      <c r="AZ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Y87*Source!I64</f>
        <v>0.24</v>
      </c>
      <c r="CY87">
        <f t="shared" si="25"/>
        <v>9323.19</v>
      </c>
      <c r="CZ87">
        <f t="shared" si="26"/>
        <v>9323.19</v>
      </c>
      <c r="DA87">
        <f t="shared" si="27"/>
        <v>1</v>
      </c>
      <c r="DB87">
        <f t="shared" si="28"/>
        <v>9323.19</v>
      </c>
      <c r="DC87">
        <f t="shared" si="29"/>
        <v>0</v>
      </c>
    </row>
    <row r="88" spans="1:107" ht="12.75">
      <c r="A88">
        <f>ROW(Source!A64)</f>
        <v>64</v>
      </c>
      <c r="B88">
        <v>55656218</v>
      </c>
      <c r="C88">
        <v>55658777</v>
      </c>
      <c r="D88">
        <v>53659617</v>
      </c>
      <c r="E88">
        <v>1</v>
      </c>
      <c r="F88">
        <v>1</v>
      </c>
      <c r="G88">
        <v>1</v>
      </c>
      <c r="H88">
        <v>3</v>
      </c>
      <c r="I88" t="s">
        <v>70</v>
      </c>
      <c r="J88" t="s">
        <v>72</v>
      </c>
      <c r="K88" t="s">
        <v>71</v>
      </c>
      <c r="L88">
        <v>1348</v>
      </c>
      <c r="N88">
        <v>1009</v>
      </c>
      <c r="O88" t="s">
        <v>41</v>
      </c>
      <c r="P88" t="s">
        <v>41</v>
      </c>
      <c r="Q88">
        <v>1000</v>
      </c>
      <c r="W88">
        <v>0</v>
      </c>
      <c r="X88">
        <v>-1915778085</v>
      </c>
      <c r="Y88">
        <v>0.0005</v>
      </c>
      <c r="AA88">
        <v>7712</v>
      </c>
      <c r="AB88">
        <v>0</v>
      </c>
      <c r="AC88">
        <v>0</v>
      </c>
      <c r="AD88">
        <v>0</v>
      </c>
      <c r="AE88">
        <v>7712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0.0005</v>
      </c>
      <c r="AV88">
        <v>0</v>
      </c>
      <c r="AW88">
        <v>2</v>
      </c>
      <c r="AX88">
        <v>55658815</v>
      </c>
      <c r="AY88">
        <v>1</v>
      </c>
      <c r="AZ88">
        <v>0</v>
      </c>
      <c r="BA88">
        <v>98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Y88*Source!I64</f>
        <v>0.00012</v>
      </c>
      <c r="CY88">
        <f t="shared" si="25"/>
        <v>7712</v>
      </c>
      <c r="CZ88">
        <f t="shared" si="26"/>
        <v>7712</v>
      </c>
      <c r="DA88">
        <f t="shared" si="27"/>
        <v>1</v>
      </c>
      <c r="DB88">
        <f t="shared" si="28"/>
        <v>3.86</v>
      </c>
      <c r="DC88">
        <f t="shared" si="29"/>
        <v>0</v>
      </c>
    </row>
    <row r="89" spans="1:107" ht="12.75">
      <c r="A89">
        <f>ROW(Source!A64)</f>
        <v>64</v>
      </c>
      <c r="B89">
        <v>55656218</v>
      </c>
      <c r="C89">
        <v>55658777</v>
      </c>
      <c r="D89">
        <v>53661716</v>
      </c>
      <c r="E89">
        <v>1</v>
      </c>
      <c r="F89">
        <v>1</v>
      </c>
      <c r="G89">
        <v>1</v>
      </c>
      <c r="H89">
        <v>3</v>
      </c>
      <c r="I89" t="s">
        <v>74</v>
      </c>
      <c r="J89" t="s">
        <v>77</v>
      </c>
      <c r="K89" t="s">
        <v>75</v>
      </c>
      <c r="L89">
        <v>1302</v>
      </c>
      <c r="N89">
        <v>1003</v>
      </c>
      <c r="O89" t="s">
        <v>76</v>
      </c>
      <c r="P89" t="s">
        <v>76</v>
      </c>
      <c r="Q89">
        <v>10</v>
      </c>
      <c r="W89">
        <v>0</v>
      </c>
      <c r="X89">
        <v>581091037</v>
      </c>
      <c r="Y89">
        <v>0.0187</v>
      </c>
      <c r="AA89">
        <v>50.24</v>
      </c>
      <c r="AB89">
        <v>0</v>
      </c>
      <c r="AC89">
        <v>0</v>
      </c>
      <c r="AD89">
        <v>0</v>
      </c>
      <c r="AE89">
        <v>50.24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0.0187</v>
      </c>
      <c r="AV89">
        <v>0</v>
      </c>
      <c r="AW89">
        <v>2</v>
      </c>
      <c r="AX89">
        <v>55658816</v>
      </c>
      <c r="AY89">
        <v>1</v>
      </c>
      <c r="AZ89">
        <v>0</v>
      </c>
      <c r="BA89">
        <v>99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Y89*Source!I64</f>
        <v>0.004488</v>
      </c>
      <c r="CY89">
        <f t="shared" si="25"/>
        <v>50.24</v>
      </c>
      <c r="CZ89">
        <f t="shared" si="26"/>
        <v>50.24</v>
      </c>
      <c r="DA89">
        <f t="shared" si="27"/>
        <v>1</v>
      </c>
      <c r="DB89">
        <f t="shared" si="28"/>
        <v>0.94</v>
      </c>
      <c r="DC89">
        <f t="shared" si="29"/>
        <v>0</v>
      </c>
    </row>
    <row r="90" spans="1:107" ht="12.75">
      <c r="A90">
        <f>ROW(Source!A64)</f>
        <v>64</v>
      </c>
      <c r="B90">
        <v>55656218</v>
      </c>
      <c r="C90">
        <v>55658777</v>
      </c>
      <c r="D90">
        <v>53662071</v>
      </c>
      <c r="E90">
        <v>1</v>
      </c>
      <c r="F90">
        <v>1</v>
      </c>
      <c r="G90">
        <v>1</v>
      </c>
      <c r="H90">
        <v>3</v>
      </c>
      <c r="I90" t="s">
        <v>79</v>
      </c>
      <c r="J90" t="s">
        <v>81</v>
      </c>
      <c r="K90" t="s">
        <v>80</v>
      </c>
      <c r="L90">
        <v>1348</v>
      </c>
      <c r="N90">
        <v>1009</v>
      </c>
      <c r="O90" t="s">
        <v>41</v>
      </c>
      <c r="P90" t="s">
        <v>41</v>
      </c>
      <c r="Q90">
        <v>1000</v>
      </c>
      <c r="W90">
        <v>0</v>
      </c>
      <c r="X90">
        <v>-120483918</v>
      </c>
      <c r="Y90">
        <v>3E-05</v>
      </c>
      <c r="AA90">
        <v>4455.2</v>
      </c>
      <c r="AB90">
        <v>0</v>
      </c>
      <c r="AC90">
        <v>0</v>
      </c>
      <c r="AD90">
        <v>0</v>
      </c>
      <c r="AE90">
        <v>4455.2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3E-05</v>
      </c>
      <c r="AV90">
        <v>0</v>
      </c>
      <c r="AW90">
        <v>2</v>
      </c>
      <c r="AX90">
        <v>55658817</v>
      </c>
      <c r="AY90">
        <v>1</v>
      </c>
      <c r="AZ90">
        <v>0</v>
      </c>
      <c r="BA90">
        <v>100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Y90*Source!I64</f>
        <v>7.2E-06</v>
      </c>
      <c r="CY90">
        <f t="shared" si="25"/>
        <v>4455.2</v>
      </c>
      <c r="CZ90">
        <f t="shared" si="26"/>
        <v>4455.2</v>
      </c>
      <c r="DA90">
        <f t="shared" si="27"/>
        <v>1</v>
      </c>
      <c r="DB90">
        <f t="shared" si="28"/>
        <v>0.13</v>
      </c>
      <c r="DC90">
        <f t="shared" si="29"/>
        <v>0</v>
      </c>
    </row>
    <row r="91" spans="1:107" ht="12.75">
      <c r="A91">
        <f>ROW(Source!A64)</f>
        <v>64</v>
      </c>
      <c r="B91">
        <v>55656218</v>
      </c>
      <c r="C91">
        <v>55658777</v>
      </c>
      <c r="D91">
        <v>53662794</v>
      </c>
      <c r="E91">
        <v>1</v>
      </c>
      <c r="F91">
        <v>1</v>
      </c>
      <c r="G91">
        <v>1</v>
      </c>
      <c r="H91">
        <v>3</v>
      </c>
      <c r="I91" t="s">
        <v>83</v>
      </c>
      <c r="J91" t="s">
        <v>85</v>
      </c>
      <c r="K91" t="s">
        <v>84</v>
      </c>
      <c r="L91">
        <v>1348</v>
      </c>
      <c r="N91">
        <v>1009</v>
      </c>
      <c r="O91" t="s">
        <v>41</v>
      </c>
      <c r="P91" t="s">
        <v>41</v>
      </c>
      <c r="Q91">
        <v>1000</v>
      </c>
      <c r="W91">
        <v>0</v>
      </c>
      <c r="X91">
        <v>834877976</v>
      </c>
      <c r="Y91">
        <v>0.00194</v>
      </c>
      <c r="AA91">
        <v>4920</v>
      </c>
      <c r="AB91">
        <v>0</v>
      </c>
      <c r="AC91">
        <v>0</v>
      </c>
      <c r="AD91">
        <v>0</v>
      </c>
      <c r="AE91">
        <v>4920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0.00194</v>
      </c>
      <c r="AV91">
        <v>0</v>
      </c>
      <c r="AW91">
        <v>2</v>
      </c>
      <c r="AX91">
        <v>55658818</v>
      </c>
      <c r="AY91">
        <v>1</v>
      </c>
      <c r="AZ91">
        <v>0</v>
      </c>
      <c r="BA91">
        <v>101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Y91*Source!I64</f>
        <v>0.0004656</v>
      </c>
      <c r="CY91">
        <f t="shared" si="25"/>
        <v>4920</v>
      </c>
      <c r="CZ91">
        <f t="shared" si="26"/>
        <v>4920</v>
      </c>
      <c r="DA91">
        <f t="shared" si="27"/>
        <v>1</v>
      </c>
      <c r="DB91">
        <f t="shared" si="28"/>
        <v>9.54</v>
      </c>
      <c r="DC91">
        <f t="shared" si="29"/>
        <v>0</v>
      </c>
    </row>
    <row r="92" spans="1:107" ht="12.75">
      <c r="A92">
        <f>ROW(Source!A64)</f>
        <v>64</v>
      </c>
      <c r="B92">
        <v>55656218</v>
      </c>
      <c r="C92">
        <v>55658777</v>
      </c>
      <c r="D92">
        <v>53666055</v>
      </c>
      <c r="E92">
        <v>1</v>
      </c>
      <c r="F92">
        <v>1</v>
      </c>
      <c r="G92">
        <v>1</v>
      </c>
      <c r="H92">
        <v>3</v>
      </c>
      <c r="I92" t="s">
        <v>87</v>
      </c>
      <c r="J92" t="s">
        <v>89</v>
      </c>
      <c r="K92" t="s">
        <v>88</v>
      </c>
      <c r="L92">
        <v>1339</v>
      </c>
      <c r="N92">
        <v>1007</v>
      </c>
      <c r="O92" t="s">
        <v>46</v>
      </c>
      <c r="P92" t="s">
        <v>46</v>
      </c>
      <c r="Q92">
        <v>1</v>
      </c>
      <c r="W92">
        <v>0</v>
      </c>
      <c r="X92">
        <v>1758287014</v>
      </c>
      <c r="Y92">
        <v>0.00103</v>
      </c>
      <c r="AA92">
        <v>1700</v>
      </c>
      <c r="AB92">
        <v>0</v>
      </c>
      <c r="AC92">
        <v>0</v>
      </c>
      <c r="AD92">
        <v>0</v>
      </c>
      <c r="AE92">
        <v>1700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0.00103</v>
      </c>
      <c r="AV92">
        <v>0</v>
      </c>
      <c r="AW92">
        <v>2</v>
      </c>
      <c r="AX92">
        <v>55658819</v>
      </c>
      <c r="AY92">
        <v>1</v>
      </c>
      <c r="AZ92">
        <v>0</v>
      </c>
      <c r="BA92">
        <v>102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Y92*Source!I64</f>
        <v>0.0002472</v>
      </c>
      <c r="CY92">
        <f t="shared" si="25"/>
        <v>1700</v>
      </c>
      <c r="CZ92">
        <f t="shared" si="26"/>
        <v>1700</v>
      </c>
      <c r="DA92">
        <f t="shared" si="27"/>
        <v>1</v>
      </c>
      <c r="DB92">
        <f t="shared" si="28"/>
        <v>1.75</v>
      </c>
      <c r="DC92">
        <f t="shared" si="29"/>
        <v>0</v>
      </c>
    </row>
    <row r="93" spans="1:107" ht="12.75">
      <c r="A93">
        <f>ROW(Source!A64)</f>
        <v>64</v>
      </c>
      <c r="B93">
        <v>55656218</v>
      </c>
      <c r="C93">
        <v>55658777</v>
      </c>
      <c r="D93">
        <v>53673673</v>
      </c>
      <c r="E93">
        <v>1</v>
      </c>
      <c r="F93">
        <v>1</v>
      </c>
      <c r="G93">
        <v>1</v>
      </c>
      <c r="H93">
        <v>3</v>
      </c>
      <c r="I93" t="s">
        <v>91</v>
      </c>
      <c r="J93" t="s">
        <v>93</v>
      </c>
      <c r="K93" t="s">
        <v>92</v>
      </c>
      <c r="L93">
        <v>1348</v>
      </c>
      <c r="N93">
        <v>1009</v>
      </c>
      <c r="O93" t="s">
        <v>41</v>
      </c>
      <c r="P93" t="s">
        <v>41</v>
      </c>
      <c r="Q93">
        <v>1000</v>
      </c>
      <c r="W93">
        <v>0</v>
      </c>
      <c r="X93">
        <v>264248573</v>
      </c>
      <c r="Y93">
        <v>0.00031</v>
      </c>
      <c r="AA93">
        <v>15620</v>
      </c>
      <c r="AB93">
        <v>0</v>
      </c>
      <c r="AC93">
        <v>0</v>
      </c>
      <c r="AD93">
        <v>0</v>
      </c>
      <c r="AE93">
        <v>15620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0.00031</v>
      </c>
      <c r="AV93">
        <v>0</v>
      </c>
      <c r="AW93">
        <v>2</v>
      </c>
      <c r="AX93">
        <v>55658820</v>
      </c>
      <c r="AY93">
        <v>1</v>
      </c>
      <c r="AZ93">
        <v>0</v>
      </c>
      <c r="BA93">
        <v>103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Y93*Source!I64</f>
        <v>7.439999999999999E-05</v>
      </c>
      <c r="CY93">
        <f t="shared" si="25"/>
        <v>15620</v>
      </c>
      <c r="CZ93">
        <f t="shared" si="26"/>
        <v>15620</v>
      </c>
      <c r="DA93">
        <f t="shared" si="27"/>
        <v>1</v>
      </c>
      <c r="DB93">
        <f t="shared" si="28"/>
        <v>4.84</v>
      </c>
      <c r="DC93">
        <f t="shared" si="29"/>
        <v>0</v>
      </c>
    </row>
    <row r="94" spans="1:107" ht="12.75">
      <c r="A94">
        <f>ROW(Source!A64)</f>
        <v>64</v>
      </c>
      <c r="B94">
        <v>55656218</v>
      </c>
      <c r="C94">
        <v>55658777</v>
      </c>
      <c r="D94">
        <v>53674786</v>
      </c>
      <c r="E94">
        <v>1</v>
      </c>
      <c r="F94">
        <v>1</v>
      </c>
      <c r="G94">
        <v>1</v>
      </c>
      <c r="H94">
        <v>3</v>
      </c>
      <c r="I94" t="s">
        <v>95</v>
      </c>
      <c r="J94" t="s">
        <v>97</v>
      </c>
      <c r="K94" t="s">
        <v>96</v>
      </c>
      <c r="L94">
        <v>1346</v>
      </c>
      <c r="N94">
        <v>1009</v>
      </c>
      <c r="O94" t="s">
        <v>51</v>
      </c>
      <c r="P94" t="s">
        <v>51</v>
      </c>
      <c r="Q94">
        <v>1</v>
      </c>
      <c r="W94">
        <v>0</v>
      </c>
      <c r="X94">
        <v>-1449230318</v>
      </c>
      <c r="Y94">
        <v>0.6</v>
      </c>
      <c r="AA94">
        <v>9.42</v>
      </c>
      <c r="AB94">
        <v>0</v>
      </c>
      <c r="AC94">
        <v>0</v>
      </c>
      <c r="AD94">
        <v>0</v>
      </c>
      <c r="AE94">
        <v>9.42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0.6</v>
      </c>
      <c r="AV94">
        <v>0</v>
      </c>
      <c r="AW94">
        <v>2</v>
      </c>
      <c r="AX94">
        <v>55658821</v>
      </c>
      <c r="AY94">
        <v>1</v>
      </c>
      <c r="AZ94">
        <v>0</v>
      </c>
      <c r="BA94">
        <v>104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Y94*Source!I64</f>
        <v>0.144</v>
      </c>
      <c r="CY94">
        <f t="shared" si="25"/>
        <v>9.42</v>
      </c>
      <c r="CZ94">
        <f t="shared" si="26"/>
        <v>9.42</v>
      </c>
      <c r="DA94">
        <f t="shared" si="27"/>
        <v>1</v>
      </c>
      <c r="DB94">
        <f t="shared" si="28"/>
        <v>5.65</v>
      </c>
      <c r="DC94">
        <f t="shared" si="29"/>
        <v>0</v>
      </c>
    </row>
    <row r="95" spans="1:107" ht="12.75">
      <c r="A95">
        <f>ROW(Source!A65)</f>
        <v>65</v>
      </c>
      <c r="B95">
        <v>55657272</v>
      </c>
      <c r="C95">
        <v>55658777</v>
      </c>
      <c r="D95">
        <v>37822923</v>
      </c>
      <c r="E95">
        <v>70</v>
      </c>
      <c r="F95">
        <v>1</v>
      </c>
      <c r="G95">
        <v>1</v>
      </c>
      <c r="H95">
        <v>1</v>
      </c>
      <c r="I95" t="s">
        <v>371</v>
      </c>
      <c r="K95" t="s">
        <v>372</v>
      </c>
      <c r="L95">
        <v>1191</v>
      </c>
      <c r="N95">
        <v>1013</v>
      </c>
      <c r="O95" t="s">
        <v>358</v>
      </c>
      <c r="P95" t="s">
        <v>358</v>
      </c>
      <c r="Q95">
        <v>1</v>
      </c>
      <c r="W95">
        <v>0</v>
      </c>
      <c r="X95">
        <v>-632984526</v>
      </c>
      <c r="Y95">
        <v>17.939999999999998</v>
      </c>
      <c r="AA95">
        <v>0</v>
      </c>
      <c r="AB95">
        <v>0</v>
      </c>
      <c r="AC95">
        <v>0</v>
      </c>
      <c r="AD95">
        <v>381.24</v>
      </c>
      <c r="AE95">
        <v>0</v>
      </c>
      <c r="AF95">
        <v>0</v>
      </c>
      <c r="AG95">
        <v>0</v>
      </c>
      <c r="AH95">
        <v>10.21</v>
      </c>
      <c r="AI95">
        <v>1</v>
      </c>
      <c r="AJ95">
        <v>1</v>
      </c>
      <c r="AK95">
        <v>1</v>
      </c>
      <c r="AL95">
        <v>37.34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15.6</v>
      </c>
      <c r="AU95" t="s">
        <v>118</v>
      </c>
      <c r="AV95">
        <v>1</v>
      </c>
      <c r="AW95">
        <v>2</v>
      </c>
      <c r="AX95">
        <v>55658800</v>
      </c>
      <c r="AY95">
        <v>1</v>
      </c>
      <c r="AZ95">
        <v>0</v>
      </c>
      <c r="BA95">
        <v>105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Y95*Source!I65</f>
        <v>4.305599999999999</v>
      </c>
      <c r="CY95">
        <f>AD95</f>
        <v>381.24</v>
      </c>
      <c r="CZ95">
        <f>AH95</f>
        <v>10.21</v>
      </c>
      <c r="DA95">
        <f>AL95</f>
        <v>37.34</v>
      </c>
      <c r="DB95">
        <f>ROUND((ROUND(AT95*CZ95,2)*ROUND(1.15,7)),2)</f>
        <v>183.17</v>
      </c>
      <c r="DC95">
        <f>ROUND((ROUND(AT95*AG95,2)*ROUND(1.15,7)),2)</f>
        <v>0</v>
      </c>
    </row>
    <row r="96" spans="1:107" ht="12.75">
      <c r="A96">
        <f>ROW(Source!A65)</f>
        <v>65</v>
      </c>
      <c r="B96">
        <v>55657272</v>
      </c>
      <c r="C96">
        <v>55658777</v>
      </c>
      <c r="D96">
        <v>37822850</v>
      </c>
      <c r="E96">
        <v>70</v>
      </c>
      <c r="F96">
        <v>1</v>
      </c>
      <c r="G96">
        <v>1</v>
      </c>
      <c r="H96">
        <v>1</v>
      </c>
      <c r="I96" t="s">
        <v>359</v>
      </c>
      <c r="K96" t="s">
        <v>360</v>
      </c>
      <c r="L96">
        <v>1191</v>
      </c>
      <c r="N96">
        <v>1013</v>
      </c>
      <c r="O96" t="s">
        <v>358</v>
      </c>
      <c r="P96" t="s">
        <v>358</v>
      </c>
      <c r="Q96">
        <v>1</v>
      </c>
      <c r="W96">
        <v>0</v>
      </c>
      <c r="X96">
        <v>-1417349443</v>
      </c>
      <c r="Y96">
        <v>3.5999999999999996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37.34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2.88</v>
      </c>
      <c r="AU96" t="s">
        <v>117</v>
      </c>
      <c r="AV96">
        <v>2</v>
      </c>
      <c r="AW96">
        <v>2</v>
      </c>
      <c r="AX96">
        <v>55658801</v>
      </c>
      <c r="AY96">
        <v>1</v>
      </c>
      <c r="AZ96">
        <v>0</v>
      </c>
      <c r="BA96">
        <v>106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Y96*Source!I65</f>
        <v>0.8639999999999999</v>
      </c>
      <c r="CY96">
        <f>AD96</f>
        <v>0</v>
      </c>
      <c r="CZ96">
        <f>AH96</f>
        <v>0</v>
      </c>
      <c r="DA96">
        <f>AL96</f>
        <v>1</v>
      </c>
      <c r="DB96">
        <f aca="true" t="shared" si="30" ref="DB96:DB102">ROUND((ROUND(AT96*CZ96,2)*ROUND(1.25,7)),2)</f>
        <v>0</v>
      </c>
      <c r="DC96">
        <f aca="true" t="shared" si="31" ref="DC96:DC102">ROUND((ROUND(AT96*AG96,2)*ROUND(1.25,7)),2)</f>
        <v>0</v>
      </c>
    </row>
    <row r="97" spans="1:107" ht="12.75">
      <c r="A97">
        <f>ROW(Source!A65)</f>
        <v>65</v>
      </c>
      <c r="B97">
        <v>55657272</v>
      </c>
      <c r="C97">
        <v>55658777</v>
      </c>
      <c r="D97">
        <v>53791943</v>
      </c>
      <c r="E97">
        <v>1</v>
      </c>
      <c r="F97">
        <v>1</v>
      </c>
      <c r="G97">
        <v>1</v>
      </c>
      <c r="H97">
        <v>2</v>
      </c>
      <c r="I97" t="s">
        <v>373</v>
      </c>
      <c r="J97" t="s">
        <v>374</v>
      </c>
      <c r="K97" t="s">
        <v>375</v>
      </c>
      <c r="L97">
        <v>1367</v>
      </c>
      <c r="N97">
        <v>1011</v>
      </c>
      <c r="O97" t="s">
        <v>364</v>
      </c>
      <c r="P97" t="s">
        <v>364</v>
      </c>
      <c r="Q97">
        <v>1</v>
      </c>
      <c r="W97">
        <v>0</v>
      </c>
      <c r="X97">
        <v>1142032057</v>
      </c>
      <c r="Y97">
        <v>0.8500000000000001</v>
      </c>
      <c r="AA97">
        <v>0</v>
      </c>
      <c r="AB97">
        <v>4133.66</v>
      </c>
      <c r="AC97">
        <v>575.78</v>
      </c>
      <c r="AD97">
        <v>0</v>
      </c>
      <c r="AE97">
        <v>0</v>
      </c>
      <c r="AF97">
        <v>312.21</v>
      </c>
      <c r="AG97">
        <v>15.42</v>
      </c>
      <c r="AH97">
        <v>0</v>
      </c>
      <c r="AI97">
        <v>1</v>
      </c>
      <c r="AJ97">
        <v>13.24</v>
      </c>
      <c r="AK97">
        <v>37.34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0.68</v>
      </c>
      <c r="AU97" t="s">
        <v>117</v>
      </c>
      <c r="AV97">
        <v>0</v>
      </c>
      <c r="AW97">
        <v>2</v>
      </c>
      <c r="AX97">
        <v>55658802</v>
      </c>
      <c r="AY97">
        <v>1</v>
      </c>
      <c r="AZ97">
        <v>0</v>
      </c>
      <c r="BA97">
        <v>107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Y97*Source!I65</f>
        <v>0.20400000000000001</v>
      </c>
      <c r="CY97">
        <f aca="true" t="shared" si="32" ref="CY97:CY102">AB97</f>
        <v>4133.66</v>
      </c>
      <c r="CZ97">
        <f aca="true" t="shared" si="33" ref="CZ97:CZ102">AF97</f>
        <v>312.21</v>
      </c>
      <c r="DA97">
        <f aca="true" t="shared" si="34" ref="DA97:DA102">AJ97</f>
        <v>13.24</v>
      </c>
      <c r="DB97">
        <f t="shared" si="30"/>
        <v>265.38</v>
      </c>
      <c r="DC97">
        <f t="shared" si="31"/>
        <v>13.11</v>
      </c>
    </row>
    <row r="98" spans="1:107" ht="12.75">
      <c r="A98">
        <f>ROW(Source!A65)</f>
        <v>65</v>
      </c>
      <c r="B98">
        <v>55657272</v>
      </c>
      <c r="C98">
        <v>55658777</v>
      </c>
      <c r="D98">
        <v>53791952</v>
      </c>
      <c r="E98">
        <v>1</v>
      </c>
      <c r="F98">
        <v>1</v>
      </c>
      <c r="G98">
        <v>1</v>
      </c>
      <c r="H98">
        <v>2</v>
      </c>
      <c r="I98" t="s">
        <v>376</v>
      </c>
      <c r="J98" t="s">
        <v>377</v>
      </c>
      <c r="K98" t="s">
        <v>378</v>
      </c>
      <c r="L98">
        <v>1367</v>
      </c>
      <c r="N98">
        <v>1011</v>
      </c>
      <c r="O98" t="s">
        <v>364</v>
      </c>
      <c r="P98" t="s">
        <v>364</v>
      </c>
      <c r="Q98">
        <v>1</v>
      </c>
      <c r="W98">
        <v>0</v>
      </c>
      <c r="X98">
        <v>-163180553</v>
      </c>
      <c r="Y98">
        <v>2.1</v>
      </c>
      <c r="AA98">
        <v>0</v>
      </c>
      <c r="AB98">
        <v>1591.98</v>
      </c>
      <c r="AC98">
        <v>575.78</v>
      </c>
      <c r="AD98">
        <v>0</v>
      </c>
      <c r="AE98">
        <v>0</v>
      </c>
      <c r="AF98">
        <v>120.24</v>
      </c>
      <c r="AG98">
        <v>15.42</v>
      </c>
      <c r="AH98">
        <v>0</v>
      </c>
      <c r="AI98">
        <v>1</v>
      </c>
      <c r="AJ98">
        <v>13.24</v>
      </c>
      <c r="AK98">
        <v>37.34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1.68</v>
      </c>
      <c r="AU98" t="s">
        <v>117</v>
      </c>
      <c r="AV98">
        <v>0</v>
      </c>
      <c r="AW98">
        <v>2</v>
      </c>
      <c r="AX98">
        <v>55658803</v>
      </c>
      <c r="AY98">
        <v>1</v>
      </c>
      <c r="AZ98">
        <v>0</v>
      </c>
      <c r="BA98">
        <v>108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Y98*Source!I65</f>
        <v>0.504</v>
      </c>
      <c r="CY98">
        <f t="shared" si="32"/>
        <v>1591.98</v>
      </c>
      <c r="CZ98">
        <f t="shared" si="33"/>
        <v>120.24</v>
      </c>
      <c r="DA98">
        <f t="shared" si="34"/>
        <v>13.24</v>
      </c>
      <c r="DB98">
        <f t="shared" si="30"/>
        <v>252.5</v>
      </c>
      <c r="DC98">
        <f t="shared" si="31"/>
        <v>32.39</v>
      </c>
    </row>
    <row r="99" spans="1:107" ht="12.75">
      <c r="A99">
        <f>ROW(Source!A65)</f>
        <v>65</v>
      </c>
      <c r="B99">
        <v>55657272</v>
      </c>
      <c r="C99">
        <v>55658777</v>
      </c>
      <c r="D99">
        <v>53791997</v>
      </c>
      <c r="E99">
        <v>1</v>
      </c>
      <c r="F99">
        <v>1</v>
      </c>
      <c r="G99">
        <v>1</v>
      </c>
      <c r="H99">
        <v>2</v>
      </c>
      <c r="I99" t="s">
        <v>361</v>
      </c>
      <c r="J99" t="s">
        <v>362</v>
      </c>
      <c r="K99" t="s">
        <v>363</v>
      </c>
      <c r="L99">
        <v>1367</v>
      </c>
      <c r="N99">
        <v>1011</v>
      </c>
      <c r="O99" t="s">
        <v>364</v>
      </c>
      <c r="P99" t="s">
        <v>364</v>
      </c>
      <c r="Q99">
        <v>1</v>
      </c>
      <c r="W99">
        <v>0</v>
      </c>
      <c r="X99">
        <v>-430484415</v>
      </c>
      <c r="Y99">
        <v>0.2625</v>
      </c>
      <c r="AA99">
        <v>0</v>
      </c>
      <c r="AB99">
        <v>1527.9</v>
      </c>
      <c r="AC99">
        <v>504.09</v>
      </c>
      <c r="AD99">
        <v>0</v>
      </c>
      <c r="AE99">
        <v>0</v>
      </c>
      <c r="AF99">
        <v>115.4</v>
      </c>
      <c r="AG99">
        <v>13.5</v>
      </c>
      <c r="AH99">
        <v>0</v>
      </c>
      <c r="AI99">
        <v>1</v>
      </c>
      <c r="AJ99">
        <v>13.24</v>
      </c>
      <c r="AK99">
        <v>37.34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0.21</v>
      </c>
      <c r="AU99" t="s">
        <v>117</v>
      </c>
      <c r="AV99">
        <v>0</v>
      </c>
      <c r="AW99">
        <v>2</v>
      </c>
      <c r="AX99">
        <v>55658804</v>
      </c>
      <c r="AY99">
        <v>1</v>
      </c>
      <c r="AZ99">
        <v>0</v>
      </c>
      <c r="BA99">
        <v>109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Y99*Source!I65</f>
        <v>0.063</v>
      </c>
      <c r="CY99">
        <f t="shared" si="32"/>
        <v>1527.9</v>
      </c>
      <c r="CZ99">
        <f t="shared" si="33"/>
        <v>115.4</v>
      </c>
      <c r="DA99">
        <f t="shared" si="34"/>
        <v>13.24</v>
      </c>
      <c r="DB99">
        <f t="shared" si="30"/>
        <v>30.29</v>
      </c>
      <c r="DC99">
        <f t="shared" si="31"/>
        <v>3.55</v>
      </c>
    </row>
    <row r="100" spans="1:107" ht="12.75">
      <c r="A100">
        <f>ROW(Source!A65)</f>
        <v>65</v>
      </c>
      <c r="B100">
        <v>55657272</v>
      </c>
      <c r="C100">
        <v>55658777</v>
      </c>
      <c r="D100">
        <v>53792927</v>
      </c>
      <c r="E100">
        <v>1</v>
      </c>
      <c r="F100">
        <v>1</v>
      </c>
      <c r="G100">
        <v>1</v>
      </c>
      <c r="H100">
        <v>2</v>
      </c>
      <c r="I100" t="s">
        <v>368</v>
      </c>
      <c r="J100" t="s">
        <v>369</v>
      </c>
      <c r="K100" t="s">
        <v>370</v>
      </c>
      <c r="L100">
        <v>1367</v>
      </c>
      <c r="N100">
        <v>1011</v>
      </c>
      <c r="O100" t="s">
        <v>364</v>
      </c>
      <c r="P100" t="s">
        <v>364</v>
      </c>
      <c r="Q100">
        <v>1</v>
      </c>
      <c r="W100">
        <v>0</v>
      </c>
      <c r="X100">
        <v>509054691</v>
      </c>
      <c r="Y100">
        <v>0.3875</v>
      </c>
      <c r="AA100">
        <v>0</v>
      </c>
      <c r="AB100">
        <v>870</v>
      </c>
      <c r="AC100">
        <v>433.14</v>
      </c>
      <c r="AD100">
        <v>0</v>
      </c>
      <c r="AE100">
        <v>0</v>
      </c>
      <c r="AF100">
        <v>65.71</v>
      </c>
      <c r="AG100">
        <v>11.6</v>
      </c>
      <c r="AH100">
        <v>0</v>
      </c>
      <c r="AI100">
        <v>1</v>
      </c>
      <c r="AJ100">
        <v>13.24</v>
      </c>
      <c r="AK100">
        <v>37.34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0.31</v>
      </c>
      <c r="AU100" t="s">
        <v>117</v>
      </c>
      <c r="AV100">
        <v>0</v>
      </c>
      <c r="AW100">
        <v>2</v>
      </c>
      <c r="AX100">
        <v>55658805</v>
      </c>
      <c r="AY100">
        <v>1</v>
      </c>
      <c r="AZ100">
        <v>0</v>
      </c>
      <c r="BA100">
        <v>110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Y100*Source!I65</f>
        <v>0.093</v>
      </c>
      <c r="CY100">
        <f t="shared" si="32"/>
        <v>870</v>
      </c>
      <c r="CZ100">
        <f t="shared" si="33"/>
        <v>65.71</v>
      </c>
      <c r="DA100">
        <f t="shared" si="34"/>
        <v>13.24</v>
      </c>
      <c r="DB100">
        <f t="shared" si="30"/>
        <v>25.46</v>
      </c>
      <c r="DC100">
        <f t="shared" si="31"/>
        <v>4.5</v>
      </c>
    </row>
    <row r="101" spans="1:107" ht="12.75">
      <c r="A101">
        <f>ROW(Source!A65)</f>
        <v>65</v>
      </c>
      <c r="B101">
        <v>55657272</v>
      </c>
      <c r="C101">
        <v>55658777</v>
      </c>
      <c r="D101">
        <v>53793082</v>
      </c>
      <c r="E101">
        <v>1</v>
      </c>
      <c r="F101">
        <v>1</v>
      </c>
      <c r="G101">
        <v>1</v>
      </c>
      <c r="H101">
        <v>2</v>
      </c>
      <c r="I101" t="s">
        <v>379</v>
      </c>
      <c r="J101" t="s">
        <v>380</v>
      </c>
      <c r="K101" t="s">
        <v>381</v>
      </c>
      <c r="L101">
        <v>1367</v>
      </c>
      <c r="N101">
        <v>1011</v>
      </c>
      <c r="O101" t="s">
        <v>364</v>
      </c>
      <c r="P101" t="s">
        <v>364</v>
      </c>
      <c r="Q101">
        <v>1</v>
      </c>
      <c r="W101">
        <v>0</v>
      </c>
      <c r="X101">
        <v>2077867240</v>
      </c>
      <c r="Y101">
        <v>2.9749999999999996</v>
      </c>
      <c r="AA101">
        <v>0</v>
      </c>
      <c r="AB101">
        <v>15.89</v>
      </c>
      <c r="AC101">
        <v>0</v>
      </c>
      <c r="AD101">
        <v>0</v>
      </c>
      <c r="AE101">
        <v>0</v>
      </c>
      <c r="AF101">
        <v>1.2</v>
      </c>
      <c r="AG101">
        <v>0</v>
      </c>
      <c r="AH101">
        <v>0</v>
      </c>
      <c r="AI101">
        <v>1</v>
      </c>
      <c r="AJ101">
        <v>13.24</v>
      </c>
      <c r="AK101">
        <v>37.34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2.38</v>
      </c>
      <c r="AU101" t="s">
        <v>117</v>
      </c>
      <c r="AV101">
        <v>0</v>
      </c>
      <c r="AW101">
        <v>2</v>
      </c>
      <c r="AX101">
        <v>55658806</v>
      </c>
      <c r="AY101">
        <v>1</v>
      </c>
      <c r="AZ101">
        <v>0</v>
      </c>
      <c r="BA101">
        <v>111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Y101*Source!I65</f>
        <v>0.7139999999999999</v>
      </c>
      <c r="CY101">
        <f t="shared" si="32"/>
        <v>15.89</v>
      </c>
      <c r="CZ101">
        <f t="shared" si="33"/>
        <v>1.2</v>
      </c>
      <c r="DA101">
        <f t="shared" si="34"/>
        <v>13.24</v>
      </c>
      <c r="DB101">
        <f t="shared" si="30"/>
        <v>3.58</v>
      </c>
      <c r="DC101">
        <f t="shared" si="31"/>
        <v>0</v>
      </c>
    </row>
    <row r="102" spans="1:107" ht="12.75">
      <c r="A102">
        <f>ROW(Source!A65)</f>
        <v>65</v>
      </c>
      <c r="B102">
        <v>55657272</v>
      </c>
      <c r="C102">
        <v>55658777</v>
      </c>
      <c r="D102">
        <v>53793125</v>
      </c>
      <c r="E102">
        <v>1</v>
      </c>
      <c r="F102">
        <v>1</v>
      </c>
      <c r="G102">
        <v>1</v>
      </c>
      <c r="H102">
        <v>2</v>
      </c>
      <c r="I102" t="s">
        <v>382</v>
      </c>
      <c r="J102" t="s">
        <v>383</v>
      </c>
      <c r="K102" t="s">
        <v>384</v>
      </c>
      <c r="L102">
        <v>1367</v>
      </c>
      <c r="N102">
        <v>1011</v>
      </c>
      <c r="O102" t="s">
        <v>364</v>
      </c>
      <c r="P102" t="s">
        <v>364</v>
      </c>
      <c r="Q102">
        <v>1</v>
      </c>
      <c r="W102">
        <v>0</v>
      </c>
      <c r="X102">
        <v>-1866313122</v>
      </c>
      <c r="Y102">
        <v>0.6</v>
      </c>
      <c r="AA102">
        <v>0</v>
      </c>
      <c r="AB102">
        <v>162.98</v>
      </c>
      <c r="AC102">
        <v>0</v>
      </c>
      <c r="AD102">
        <v>0</v>
      </c>
      <c r="AE102">
        <v>0</v>
      </c>
      <c r="AF102">
        <v>12.31</v>
      </c>
      <c r="AG102">
        <v>0</v>
      </c>
      <c r="AH102">
        <v>0</v>
      </c>
      <c r="AI102">
        <v>1</v>
      </c>
      <c r="AJ102">
        <v>13.24</v>
      </c>
      <c r="AK102">
        <v>37.34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0.48</v>
      </c>
      <c r="AU102" t="s">
        <v>117</v>
      </c>
      <c r="AV102">
        <v>0</v>
      </c>
      <c r="AW102">
        <v>2</v>
      </c>
      <c r="AX102">
        <v>55658807</v>
      </c>
      <c r="AY102">
        <v>1</v>
      </c>
      <c r="AZ102">
        <v>0</v>
      </c>
      <c r="BA102">
        <v>112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Y102*Source!I65</f>
        <v>0.144</v>
      </c>
      <c r="CY102">
        <f t="shared" si="32"/>
        <v>162.98</v>
      </c>
      <c r="CZ102">
        <f t="shared" si="33"/>
        <v>12.31</v>
      </c>
      <c r="DA102">
        <f t="shared" si="34"/>
        <v>13.24</v>
      </c>
      <c r="DB102">
        <f t="shared" si="30"/>
        <v>7.39</v>
      </c>
      <c r="DC102">
        <f t="shared" si="31"/>
        <v>0</v>
      </c>
    </row>
    <row r="103" spans="1:107" ht="12.75">
      <c r="A103">
        <f>ROW(Source!A65)</f>
        <v>65</v>
      </c>
      <c r="B103">
        <v>55657272</v>
      </c>
      <c r="C103">
        <v>55658777</v>
      </c>
      <c r="D103">
        <v>53640954</v>
      </c>
      <c r="E103">
        <v>1</v>
      </c>
      <c r="F103">
        <v>1</v>
      </c>
      <c r="G103">
        <v>1</v>
      </c>
      <c r="H103">
        <v>3</v>
      </c>
      <c r="I103" t="s">
        <v>44</v>
      </c>
      <c r="J103" t="s">
        <v>47</v>
      </c>
      <c r="K103" t="s">
        <v>45</v>
      </c>
      <c r="L103">
        <v>1339</v>
      </c>
      <c r="N103">
        <v>1007</v>
      </c>
      <c r="O103" t="s">
        <v>46</v>
      </c>
      <c r="P103" t="s">
        <v>46</v>
      </c>
      <c r="Q103">
        <v>1</v>
      </c>
      <c r="W103">
        <v>0</v>
      </c>
      <c r="X103">
        <v>-1761807714</v>
      </c>
      <c r="Y103">
        <v>1.95</v>
      </c>
      <c r="AA103">
        <v>41.8</v>
      </c>
      <c r="AB103">
        <v>0</v>
      </c>
      <c r="AC103">
        <v>0</v>
      </c>
      <c r="AD103">
        <v>0</v>
      </c>
      <c r="AE103">
        <v>6.22</v>
      </c>
      <c r="AF103">
        <v>0</v>
      </c>
      <c r="AG103">
        <v>0</v>
      </c>
      <c r="AH103">
        <v>0</v>
      </c>
      <c r="AI103">
        <v>6.72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1.95</v>
      </c>
      <c r="AV103">
        <v>0</v>
      </c>
      <c r="AW103">
        <v>2</v>
      </c>
      <c r="AX103">
        <v>55658808</v>
      </c>
      <c r="AY103">
        <v>1</v>
      </c>
      <c r="AZ103">
        <v>0</v>
      </c>
      <c r="BA103">
        <v>113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Y103*Source!I65</f>
        <v>0.46799999999999997</v>
      </c>
      <c r="CY103">
        <f aca="true" t="shared" si="35" ref="CY103:CY116">AA103</f>
        <v>41.8</v>
      </c>
      <c r="CZ103">
        <f aca="true" t="shared" si="36" ref="CZ103:CZ116">AE103</f>
        <v>6.22</v>
      </c>
      <c r="DA103">
        <f aca="true" t="shared" si="37" ref="DA103:DA116">AI103</f>
        <v>6.72</v>
      </c>
      <c r="DB103">
        <f aca="true" t="shared" si="38" ref="DB103:DB128">ROUND(ROUND(AT103*CZ103,2),2)</f>
        <v>12.13</v>
      </c>
      <c r="DC103">
        <f aca="true" t="shared" si="39" ref="DC103:DC128">ROUND(ROUND(AT103*AG103,2),2)</f>
        <v>0</v>
      </c>
    </row>
    <row r="104" spans="1:107" ht="12.75">
      <c r="A104">
        <f>ROW(Source!A65)</f>
        <v>65</v>
      </c>
      <c r="B104">
        <v>55657272</v>
      </c>
      <c r="C104">
        <v>55658777</v>
      </c>
      <c r="D104">
        <v>53640960</v>
      </c>
      <c r="E104">
        <v>1</v>
      </c>
      <c r="F104">
        <v>1</v>
      </c>
      <c r="G104">
        <v>1</v>
      </c>
      <c r="H104">
        <v>3</v>
      </c>
      <c r="I104" t="s">
        <v>49</v>
      </c>
      <c r="J104" t="s">
        <v>52</v>
      </c>
      <c r="K104" t="s">
        <v>50</v>
      </c>
      <c r="L104">
        <v>1346</v>
      </c>
      <c r="N104">
        <v>1009</v>
      </c>
      <c r="O104" t="s">
        <v>51</v>
      </c>
      <c r="P104" t="s">
        <v>51</v>
      </c>
      <c r="Q104">
        <v>1</v>
      </c>
      <c r="W104">
        <v>0</v>
      </c>
      <c r="X104">
        <v>-2118006079</v>
      </c>
      <c r="Y104">
        <v>0.59</v>
      </c>
      <c r="AA104">
        <v>40.92</v>
      </c>
      <c r="AB104">
        <v>0</v>
      </c>
      <c r="AC104">
        <v>0</v>
      </c>
      <c r="AD104">
        <v>0</v>
      </c>
      <c r="AE104">
        <v>6.09</v>
      </c>
      <c r="AF104">
        <v>0</v>
      </c>
      <c r="AG104">
        <v>0</v>
      </c>
      <c r="AH104">
        <v>0</v>
      </c>
      <c r="AI104">
        <v>6.72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0.59</v>
      </c>
      <c r="AV104">
        <v>0</v>
      </c>
      <c r="AW104">
        <v>2</v>
      </c>
      <c r="AX104">
        <v>55658809</v>
      </c>
      <c r="AY104">
        <v>1</v>
      </c>
      <c r="AZ104">
        <v>0</v>
      </c>
      <c r="BA104">
        <v>114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Y104*Source!I65</f>
        <v>0.14159999999999998</v>
      </c>
      <c r="CY104">
        <f t="shared" si="35"/>
        <v>40.92</v>
      </c>
      <c r="CZ104">
        <f t="shared" si="36"/>
        <v>6.09</v>
      </c>
      <c r="DA104">
        <f t="shared" si="37"/>
        <v>6.72</v>
      </c>
      <c r="DB104">
        <f t="shared" si="38"/>
        <v>3.59</v>
      </c>
      <c r="DC104">
        <f t="shared" si="39"/>
        <v>0</v>
      </c>
    </row>
    <row r="105" spans="1:107" ht="12.75">
      <c r="A105">
        <f>ROW(Source!A65)</f>
        <v>65</v>
      </c>
      <c r="B105">
        <v>55657272</v>
      </c>
      <c r="C105">
        <v>55658777</v>
      </c>
      <c r="D105">
        <v>53643640</v>
      </c>
      <c r="E105">
        <v>1</v>
      </c>
      <c r="F105">
        <v>1</v>
      </c>
      <c r="G105">
        <v>1</v>
      </c>
      <c r="H105">
        <v>3</v>
      </c>
      <c r="I105" t="s">
        <v>54</v>
      </c>
      <c r="J105" t="s">
        <v>56</v>
      </c>
      <c r="K105" t="s">
        <v>55</v>
      </c>
      <c r="L105">
        <v>1348</v>
      </c>
      <c r="N105">
        <v>1009</v>
      </c>
      <c r="O105" t="s">
        <v>41</v>
      </c>
      <c r="P105" t="s">
        <v>41</v>
      </c>
      <c r="Q105">
        <v>1000</v>
      </c>
      <c r="W105">
        <v>0</v>
      </c>
      <c r="X105">
        <v>1163323608</v>
      </c>
      <c r="Y105">
        <v>0.0031</v>
      </c>
      <c r="AA105">
        <v>69316.87</v>
      </c>
      <c r="AB105">
        <v>0</v>
      </c>
      <c r="AC105">
        <v>0</v>
      </c>
      <c r="AD105">
        <v>0</v>
      </c>
      <c r="AE105">
        <v>10315.01</v>
      </c>
      <c r="AF105">
        <v>0</v>
      </c>
      <c r="AG105">
        <v>0</v>
      </c>
      <c r="AH105">
        <v>0</v>
      </c>
      <c r="AI105">
        <v>6.72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0.0031</v>
      </c>
      <c r="AV105">
        <v>0</v>
      </c>
      <c r="AW105">
        <v>2</v>
      </c>
      <c r="AX105">
        <v>55658810</v>
      </c>
      <c r="AY105">
        <v>1</v>
      </c>
      <c r="AZ105">
        <v>0</v>
      </c>
      <c r="BA105">
        <v>115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Y105*Source!I65</f>
        <v>0.000744</v>
      </c>
      <c r="CY105">
        <f t="shared" si="35"/>
        <v>69316.87</v>
      </c>
      <c r="CZ105">
        <f t="shared" si="36"/>
        <v>10315.01</v>
      </c>
      <c r="DA105">
        <f t="shared" si="37"/>
        <v>6.72</v>
      </c>
      <c r="DB105">
        <f t="shared" si="38"/>
        <v>31.98</v>
      </c>
      <c r="DC105">
        <f t="shared" si="39"/>
        <v>0</v>
      </c>
    </row>
    <row r="106" spans="1:107" ht="12.75">
      <c r="A106">
        <f>ROW(Source!A65)</f>
        <v>65</v>
      </c>
      <c r="B106">
        <v>55657272</v>
      </c>
      <c r="C106">
        <v>55658777</v>
      </c>
      <c r="D106">
        <v>53644840</v>
      </c>
      <c r="E106">
        <v>1</v>
      </c>
      <c r="F106">
        <v>1</v>
      </c>
      <c r="G106">
        <v>1</v>
      </c>
      <c r="H106">
        <v>3</v>
      </c>
      <c r="I106" t="s">
        <v>58</v>
      </c>
      <c r="J106" t="s">
        <v>60</v>
      </c>
      <c r="K106" t="s">
        <v>59</v>
      </c>
      <c r="L106">
        <v>1346</v>
      </c>
      <c r="N106">
        <v>1009</v>
      </c>
      <c r="O106" t="s">
        <v>51</v>
      </c>
      <c r="P106" t="s">
        <v>51</v>
      </c>
      <c r="Q106">
        <v>1</v>
      </c>
      <c r="W106">
        <v>0</v>
      </c>
      <c r="X106">
        <v>-1864341761</v>
      </c>
      <c r="Y106">
        <v>3.1</v>
      </c>
      <c r="AA106">
        <v>60.75</v>
      </c>
      <c r="AB106">
        <v>0</v>
      </c>
      <c r="AC106">
        <v>0</v>
      </c>
      <c r="AD106">
        <v>0</v>
      </c>
      <c r="AE106">
        <v>9.04</v>
      </c>
      <c r="AF106">
        <v>0</v>
      </c>
      <c r="AG106">
        <v>0</v>
      </c>
      <c r="AH106">
        <v>0</v>
      </c>
      <c r="AI106">
        <v>6.72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3.1</v>
      </c>
      <c r="AV106">
        <v>0</v>
      </c>
      <c r="AW106">
        <v>2</v>
      </c>
      <c r="AX106">
        <v>55658811</v>
      </c>
      <c r="AY106">
        <v>1</v>
      </c>
      <c r="AZ106">
        <v>0</v>
      </c>
      <c r="BA106">
        <v>116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Y106*Source!I65</f>
        <v>0.744</v>
      </c>
      <c r="CY106">
        <f t="shared" si="35"/>
        <v>60.75</v>
      </c>
      <c r="CZ106">
        <f t="shared" si="36"/>
        <v>9.04</v>
      </c>
      <c r="DA106">
        <f t="shared" si="37"/>
        <v>6.72</v>
      </c>
      <c r="DB106">
        <f t="shared" si="38"/>
        <v>28.02</v>
      </c>
      <c r="DC106">
        <f t="shared" si="39"/>
        <v>0</v>
      </c>
    </row>
    <row r="107" spans="1:107" ht="12.75">
      <c r="A107">
        <f>ROW(Source!A65)</f>
        <v>65</v>
      </c>
      <c r="B107">
        <v>55657272</v>
      </c>
      <c r="C107">
        <v>55658777</v>
      </c>
      <c r="D107">
        <v>53644939</v>
      </c>
      <c r="E107">
        <v>1</v>
      </c>
      <c r="F107">
        <v>1</v>
      </c>
      <c r="G107">
        <v>1</v>
      </c>
      <c r="H107">
        <v>3</v>
      </c>
      <c r="I107" t="s">
        <v>62</v>
      </c>
      <c r="J107" t="s">
        <v>64</v>
      </c>
      <c r="K107" t="s">
        <v>63</v>
      </c>
      <c r="L107">
        <v>1348</v>
      </c>
      <c r="N107">
        <v>1009</v>
      </c>
      <c r="O107" t="s">
        <v>41</v>
      </c>
      <c r="P107" t="s">
        <v>41</v>
      </c>
      <c r="Q107">
        <v>1000</v>
      </c>
      <c r="W107">
        <v>0</v>
      </c>
      <c r="X107">
        <v>-45966985</v>
      </c>
      <c r="Y107">
        <v>1E-05</v>
      </c>
      <c r="AA107">
        <v>80492.16</v>
      </c>
      <c r="AB107">
        <v>0</v>
      </c>
      <c r="AC107">
        <v>0</v>
      </c>
      <c r="AD107">
        <v>0</v>
      </c>
      <c r="AE107">
        <v>11978</v>
      </c>
      <c r="AF107">
        <v>0</v>
      </c>
      <c r="AG107">
        <v>0</v>
      </c>
      <c r="AH107">
        <v>0</v>
      </c>
      <c r="AI107">
        <v>6.72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1E-05</v>
      </c>
      <c r="AV107">
        <v>0</v>
      </c>
      <c r="AW107">
        <v>2</v>
      </c>
      <c r="AX107">
        <v>55658812</v>
      </c>
      <c r="AY107">
        <v>1</v>
      </c>
      <c r="AZ107">
        <v>0</v>
      </c>
      <c r="BA107">
        <v>117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Y107*Source!I65</f>
        <v>2.4000000000000003E-06</v>
      </c>
      <c r="CY107">
        <f t="shared" si="35"/>
        <v>80492.16</v>
      </c>
      <c r="CZ107">
        <f t="shared" si="36"/>
        <v>11978</v>
      </c>
      <c r="DA107">
        <f t="shared" si="37"/>
        <v>6.72</v>
      </c>
      <c r="DB107">
        <f t="shared" si="38"/>
        <v>0.12</v>
      </c>
      <c r="DC107">
        <f t="shared" si="39"/>
        <v>0</v>
      </c>
    </row>
    <row r="108" spans="1:107" ht="12.75">
      <c r="A108">
        <f>ROW(Source!A65)</f>
        <v>65</v>
      </c>
      <c r="B108">
        <v>55657272</v>
      </c>
      <c r="C108">
        <v>55658777</v>
      </c>
      <c r="D108">
        <v>53646035</v>
      </c>
      <c r="E108">
        <v>1</v>
      </c>
      <c r="F108">
        <v>1</v>
      </c>
      <c r="G108">
        <v>1</v>
      </c>
      <c r="H108">
        <v>3</v>
      </c>
      <c r="I108" t="s">
        <v>66</v>
      </c>
      <c r="J108" t="s">
        <v>68</v>
      </c>
      <c r="K108" t="s">
        <v>67</v>
      </c>
      <c r="L108">
        <v>1348</v>
      </c>
      <c r="N108">
        <v>1009</v>
      </c>
      <c r="O108" t="s">
        <v>41</v>
      </c>
      <c r="P108" t="s">
        <v>41</v>
      </c>
      <c r="Q108">
        <v>1000</v>
      </c>
      <c r="W108">
        <v>0</v>
      </c>
      <c r="X108">
        <v>-1671348935</v>
      </c>
      <c r="Y108">
        <v>0.0001</v>
      </c>
      <c r="AA108">
        <v>254688</v>
      </c>
      <c r="AB108">
        <v>0</v>
      </c>
      <c r="AC108">
        <v>0</v>
      </c>
      <c r="AD108">
        <v>0</v>
      </c>
      <c r="AE108">
        <v>37900</v>
      </c>
      <c r="AF108">
        <v>0</v>
      </c>
      <c r="AG108">
        <v>0</v>
      </c>
      <c r="AH108">
        <v>0</v>
      </c>
      <c r="AI108">
        <v>6.72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0.0001</v>
      </c>
      <c r="AV108">
        <v>0</v>
      </c>
      <c r="AW108">
        <v>2</v>
      </c>
      <c r="AX108">
        <v>55658813</v>
      </c>
      <c r="AY108">
        <v>1</v>
      </c>
      <c r="AZ108">
        <v>0</v>
      </c>
      <c r="BA108">
        <v>118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Y108*Source!I65</f>
        <v>2.4E-05</v>
      </c>
      <c r="CY108">
        <f t="shared" si="35"/>
        <v>254688</v>
      </c>
      <c r="CZ108">
        <f t="shared" si="36"/>
        <v>37900</v>
      </c>
      <c r="DA108">
        <f t="shared" si="37"/>
        <v>6.72</v>
      </c>
      <c r="DB108">
        <f t="shared" si="38"/>
        <v>3.79</v>
      </c>
      <c r="DC108">
        <f t="shared" si="39"/>
        <v>0</v>
      </c>
    </row>
    <row r="109" spans="1:107" ht="12.75">
      <c r="A109">
        <f>ROW(Source!A65)</f>
        <v>65</v>
      </c>
      <c r="B109">
        <v>55657272</v>
      </c>
      <c r="C109">
        <v>55658777</v>
      </c>
      <c r="D109">
        <v>53659606</v>
      </c>
      <c r="E109">
        <v>1</v>
      </c>
      <c r="F109">
        <v>1</v>
      </c>
      <c r="G109">
        <v>1</v>
      </c>
      <c r="H109">
        <v>3</v>
      </c>
      <c r="I109" t="s">
        <v>122</v>
      </c>
      <c r="J109" t="s">
        <v>124</v>
      </c>
      <c r="K109" t="s">
        <v>123</v>
      </c>
      <c r="L109">
        <v>1348</v>
      </c>
      <c r="N109">
        <v>1009</v>
      </c>
      <c r="O109" t="s">
        <v>41</v>
      </c>
      <c r="P109" t="s">
        <v>41</v>
      </c>
      <c r="Q109">
        <v>1000</v>
      </c>
      <c r="W109">
        <v>0</v>
      </c>
      <c r="X109">
        <v>1291136343</v>
      </c>
      <c r="Y109">
        <v>1</v>
      </c>
      <c r="AA109">
        <v>62651.84</v>
      </c>
      <c r="AB109">
        <v>0</v>
      </c>
      <c r="AC109">
        <v>0</v>
      </c>
      <c r="AD109">
        <v>0</v>
      </c>
      <c r="AE109">
        <v>9323.19</v>
      </c>
      <c r="AF109">
        <v>0</v>
      </c>
      <c r="AG109">
        <v>0</v>
      </c>
      <c r="AH109">
        <v>0</v>
      </c>
      <c r="AI109">
        <v>6.72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0</v>
      </c>
      <c r="AQ109">
        <v>0</v>
      </c>
      <c r="AR109">
        <v>0</v>
      </c>
      <c r="AT109">
        <v>1</v>
      </c>
      <c r="AV109">
        <v>0</v>
      </c>
      <c r="AW109">
        <v>1</v>
      </c>
      <c r="AX109">
        <v>-1</v>
      </c>
      <c r="AY109">
        <v>0</v>
      </c>
      <c r="AZ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Y109*Source!I65</f>
        <v>0.24</v>
      </c>
      <c r="CY109">
        <f t="shared" si="35"/>
        <v>62651.84</v>
      </c>
      <c r="CZ109">
        <f t="shared" si="36"/>
        <v>9323.19</v>
      </c>
      <c r="DA109">
        <f t="shared" si="37"/>
        <v>6.72</v>
      </c>
      <c r="DB109">
        <f t="shared" si="38"/>
        <v>9323.19</v>
      </c>
      <c r="DC109">
        <f t="shared" si="39"/>
        <v>0</v>
      </c>
    </row>
    <row r="110" spans="1:107" ht="12.75">
      <c r="A110">
        <f>ROW(Source!A65)</f>
        <v>65</v>
      </c>
      <c r="B110">
        <v>55657272</v>
      </c>
      <c r="C110">
        <v>55658777</v>
      </c>
      <c r="D110">
        <v>53659617</v>
      </c>
      <c r="E110">
        <v>1</v>
      </c>
      <c r="F110">
        <v>1</v>
      </c>
      <c r="G110">
        <v>1</v>
      </c>
      <c r="H110">
        <v>3</v>
      </c>
      <c r="I110" t="s">
        <v>70</v>
      </c>
      <c r="J110" t="s">
        <v>72</v>
      </c>
      <c r="K110" t="s">
        <v>71</v>
      </c>
      <c r="L110">
        <v>1348</v>
      </c>
      <c r="N110">
        <v>1009</v>
      </c>
      <c r="O110" t="s">
        <v>41</v>
      </c>
      <c r="P110" t="s">
        <v>41</v>
      </c>
      <c r="Q110">
        <v>1000</v>
      </c>
      <c r="W110">
        <v>0</v>
      </c>
      <c r="X110">
        <v>-1915778085</v>
      </c>
      <c r="Y110">
        <v>0.0005</v>
      </c>
      <c r="AA110">
        <v>51824.64</v>
      </c>
      <c r="AB110">
        <v>0</v>
      </c>
      <c r="AC110">
        <v>0</v>
      </c>
      <c r="AD110">
        <v>0</v>
      </c>
      <c r="AE110">
        <v>7712</v>
      </c>
      <c r="AF110">
        <v>0</v>
      </c>
      <c r="AG110">
        <v>0</v>
      </c>
      <c r="AH110">
        <v>0</v>
      </c>
      <c r="AI110">
        <v>6.72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0.0005</v>
      </c>
      <c r="AV110">
        <v>0</v>
      </c>
      <c r="AW110">
        <v>2</v>
      </c>
      <c r="AX110">
        <v>55658815</v>
      </c>
      <c r="AY110">
        <v>1</v>
      </c>
      <c r="AZ110">
        <v>0</v>
      </c>
      <c r="BA110">
        <v>120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Y110*Source!I65</f>
        <v>0.00012</v>
      </c>
      <c r="CY110">
        <f t="shared" si="35"/>
        <v>51824.64</v>
      </c>
      <c r="CZ110">
        <f t="shared" si="36"/>
        <v>7712</v>
      </c>
      <c r="DA110">
        <f t="shared" si="37"/>
        <v>6.72</v>
      </c>
      <c r="DB110">
        <f t="shared" si="38"/>
        <v>3.86</v>
      </c>
      <c r="DC110">
        <f t="shared" si="39"/>
        <v>0</v>
      </c>
    </row>
    <row r="111" spans="1:107" ht="12.75">
      <c r="A111">
        <f>ROW(Source!A65)</f>
        <v>65</v>
      </c>
      <c r="B111">
        <v>55657272</v>
      </c>
      <c r="C111">
        <v>55658777</v>
      </c>
      <c r="D111">
        <v>53661716</v>
      </c>
      <c r="E111">
        <v>1</v>
      </c>
      <c r="F111">
        <v>1</v>
      </c>
      <c r="G111">
        <v>1</v>
      </c>
      <c r="H111">
        <v>3</v>
      </c>
      <c r="I111" t="s">
        <v>74</v>
      </c>
      <c r="J111" t="s">
        <v>77</v>
      </c>
      <c r="K111" t="s">
        <v>75</v>
      </c>
      <c r="L111">
        <v>1302</v>
      </c>
      <c r="N111">
        <v>1003</v>
      </c>
      <c r="O111" t="s">
        <v>76</v>
      </c>
      <c r="P111" t="s">
        <v>76</v>
      </c>
      <c r="Q111">
        <v>10</v>
      </c>
      <c r="W111">
        <v>0</v>
      </c>
      <c r="X111">
        <v>581091037</v>
      </c>
      <c r="Y111">
        <v>0.0187</v>
      </c>
      <c r="AA111">
        <v>337.61</v>
      </c>
      <c r="AB111">
        <v>0</v>
      </c>
      <c r="AC111">
        <v>0</v>
      </c>
      <c r="AD111">
        <v>0</v>
      </c>
      <c r="AE111">
        <v>50.24</v>
      </c>
      <c r="AF111">
        <v>0</v>
      </c>
      <c r="AG111">
        <v>0</v>
      </c>
      <c r="AH111">
        <v>0</v>
      </c>
      <c r="AI111">
        <v>6.72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0.0187</v>
      </c>
      <c r="AV111">
        <v>0</v>
      </c>
      <c r="AW111">
        <v>2</v>
      </c>
      <c r="AX111">
        <v>55658816</v>
      </c>
      <c r="AY111">
        <v>1</v>
      </c>
      <c r="AZ111">
        <v>0</v>
      </c>
      <c r="BA111">
        <v>121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Y111*Source!I65</f>
        <v>0.004488</v>
      </c>
      <c r="CY111">
        <f t="shared" si="35"/>
        <v>337.61</v>
      </c>
      <c r="CZ111">
        <f t="shared" si="36"/>
        <v>50.24</v>
      </c>
      <c r="DA111">
        <f t="shared" si="37"/>
        <v>6.72</v>
      </c>
      <c r="DB111">
        <f t="shared" si="38"/>
        <v>0.94</v>
      </c>
      <c r="DC111">
        <f t="shared" si="39"/>
        <v>0</v>
      </c>
    </row>
    <row r="112" spans="1:107" ht="12.75">
      <c r="A112">
        <f>ROW(Source!A65)</f>
        <v>65</v>
      </c>
      <c r="B112">
        <v>55657272</v>
      </c>
      <c r="C112">
        <v>55658777</v>
      </c>
      <c r="D112">
        <v>53662071</v>
      </c>
      <c r="E112">
        <v>1</v>
      </c>
      <c r="F112">
        <v>1</v>
      </c>
      <c r="G112">
        <v>1</v>
      </c>
      <c r="H112">
        <v>3</v>
      </c>
      <c r="I112" t="s">
        <v>79</v>
      </c>
      <c r="J112" t="s">
        <v>81</v>
      </c>
      <c r="K112" t="s">
        <v>80</v>
      </c>
      <c r="L112">
        <v>1348</v>
      </c>
      <c r="N112">
        <v>1009</v>
      </c>
      <c r="O112" t="s">
        <v>41</v>
      </c>
      <c r="P112" t="s">
        <v>41</v>
      </c>
      <c r="Q112">
        <v>1000</v>
      </c>
      <c r="W112">
        <v>0</v>
      </c>
      <c r="X112">
        <v>-120483918</v>
      </c>
      <c r="Y112">
        <v>3E-05</v>
      </c>
      <c r="AA112">
        <v>29938.94</v>
      </c>
      <c r="AB112">
        <v>0</v>
      </c>
      <c r="AC112">
        <v>0</v>
      </c>
      <c r="AD112">
        <v>0</v>
      </c>
      <c r="AE112">
        <v>4455.2</v>
      </c>
      <c r="AF112">
        <v>0</v>
      </c>
      <c r="AG112">
        <v>0</v>
      </c>
      <c r="AH112">
        <v>0</v>
      </c>
      <c r="AI112">
        <v>6.72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3E-05</v>
      </c>
      <c r="AV112">
        <v>0</v>
      </c>
      <c r="AW112">
        <v>2</v>
      </c>
      <c r="AX112">
        <v>55658817</v>
      </c>
      <c r="AY112">
        <v>1</v>
      </c>
      <c r="AZ112">
        <v>0</v>
      </c>
      <c r="BA112">
        <v>122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Y112*Source!I65</f>
        <v>7.2E-06</v>
      </c>
      <c r="CY112">
        <f t="shared" si="35"/>
        <v>29938.94</v>
      </c>
      <c r="CZ112">
        <f t="shared" si="36"/>
        <v>4455.2</v>
      </c>
      <c r="DA112">
        <f t="shared" si="37"/>
        <v>6.72</v>
      </c>
      <c r="DB112">
        <f t="shared" si="38"/>
        <v>0.13</v>
      </c>
      <c r="DC112">
        <f t="shared" si="39"/>
        <v>0</v>
      </c>
    </row>
    <row r="113" spans="1:107" ht="12.75">
      <c r="A113">
        <f>ROW(Source!A65)</f>
        <v>65</v>
      </c>
      <c r="B113">
        <v>55657272</v>
      </c>
      <c r="C113">
        <v>55658777</v>
      </c>
      <c r="D113">
        <v>53662794</v>
      </c>
      <c r="E113">
        <v>1</v>
      </c>
      <c r="F113">
        <v>1</v>
      </c>
      <c r="G113">
        <v>1</v>
      </c>
      <c r="H113">
        <v>3</v>
      </c>
      <c r="I113" t="s">
        <v>83</v>
      </c>
      <c r="J113" t="s">
        <v>85</v>
      </c>
      <c r="K113" t="s">
        <v>84</v>
      </c>
      <c r="L113">
        <v>1348</v>
      </c>
      <c r="N113">
        <v>1009</v>
      </c>
      <c r="O113" t="s">
        <v>41</v>
      </c>
      <c r="P113" t="s">
        <v>41</v>
      </c>
      <c r="Q113">
        <v>1000</v>
      </c>
      <c r="W113">
        <v>0</v>
      </c>
      <c r="X113">
        <v>834877976</v>
      </c>
      <c r="Y113">
        <v>0.00194</v>
      </c>
      <c r="AA113">
        <v>33062.4</v>
      </c>
      <c r="AB113">
        <v>0</v>
      </c>
      <c r="AC113">
        <v>0</v>
      </c>
      <c r="AD113">
        <v>0</v>
      </c>
      <c r="AE113">
        <v>4920</v>
      </c>
      <c r="AF113">
        <v>0</v>
      </c>
      <c r="AG113">
        <v>0</v>
      </c>
      <c r="AH113">
        <v>0</v>
      </c>
      <c r="AI113">
        <v>6.72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0.00194</v>
      </c>
      <c r="AV113">
        <v>0</v>
      </c>
      <c r="AW113">
        <v>2</v>
      </c>
      <c r="AX113">
        <v>55658818</v>
      </c>
      <c r="AY113">
        <v>1</v>
      </c>
      <c r="AZ113">
        <v>0</v>
      </c>
      <c r="BA113">
        <v>123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Y113*Source!I65</f>
        <v>0.0004656</v>
      </c>
      <c r="CY113">
        <f t="shared" si="35"/>
        <v>33062.4</v>
      </c>
      <c r="CZ113">
        <f t="shared" si="36"/>
        <v>4920</v>
      </c>
      <c r="DA113">
        <f t="shared" si="37"/>
        <v>6.72</v>
      </c>
      <c r="DB113">
        <f t="shared" si="38"/>
        <v>9.54</v>
      </c>
      <c r="DC113">
        <f t="shared" si="39"/>
        <v>0</v>
      </c>
    </row>
    <row r="114" spans="1:107" ht="12.75">
      <c r="A114">
        <f>ROW(Source!A65)</f>
        <v>65</v>
      </c>
      <c r="B114">
        <v>55657272</v>
      </c>
      <c r="C114">
        <v>55658777</v>
      </c>
      <c r="D114">
        <v>53666055</v>
      </c>
      <c r="E114">
        <v>1</v>
      </c>
      <c r="F114">
        <v>1</v>
      </c>
      <c r="G114">
        <v>1</v>
      </c>
      <c r="H114">
        <v>3</v>
      </c>
      <c r="I114" t="s">
        <v>87</v>
      </c>
      <c r="J114" t="s">
        <v>89</v>
      </c>
      <c r="K114" t="s">
        <v>88</v>
      </c>
      <c r="L114">
        <v>1339</v>
      </c>
      <c r="N114">
        <v>1007</v>
      </c>
      <c r="O114" t="s">
        <v>46</v>
      </c>
      <c r="P114" t="s">
        <v>46</v>
      </c>
      <c r="Q114">
        <v>1</v>
      </c>
      <c r="W114">
        <v>0</v>
      </c>
      <c r="X114">
        <v>1758287014</v>
      </c>
      <c r="Y114">
        <v>0.00103</v>
      </c>
      <c r="AA114">
        <v>11424</v>
      </c>
      <c r="AB114">
        <v>0</v>
      </c>
      <c r="AC114">
        <v>0</v>
      </c>
      <c r="AD114">
        <v>0</v>
      </c>
      <c r="AE114">
        <v>1700</v>
      </c>
      <c r="AF114">
        <v>0</v>
      </c>
      <c r="AG114">
        <v>0</v>
      </c>
      <c r="AH114">
        <v>0</v>
      </c>
      <c r="AI114">
        <v>6.72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0.00103</v>
      </c>
      <c r="AV114">
        <v>0</v>
      </c>
      <c r="AW114">
        <v>2</v>
      </c>
      <c r="AX114">
        <v>55658819</v>
      </c>
      <c r="AY114">
        <v>1</v>
      </c>
      <c r="AZ114">
        <v>0</v>
      </c>
      <c r="BA114">
        <v>124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Y114*Source!I65</f>
        <v>0.0002472</v>
      </c>
      <c r="CY114">
        <f t="shared" si="35"/>
        <v>11424</v>
      </c>
      <c r="CZ114">
        <f t="shared" si="36"/>
        <v>1700</v>
      </c>
      <c r="DA114">
        <f t="shared" si="37"/>
        <v>6.72</v>
      </c>
      <c r="DB114">
        <f t="shared" si="38"/>
        <v>1.75</v>
      </c>
      <c r="DC114">
        <f t="shared" si="39"/>
        <v>0</v>
      </c>
    </row>
    <row r="115" spans="1:107" ht="12.75">
      <c r="A115">
        <f>ROW(Source!A65)</f>
        <v>65</v>
      </c>
      <c r="B115">
        <v>55657272</v>
      </c>
      <c r="C115">
        <v>55658777</v>
      </c>
      <c r="D115">
        <v>53673673</v>
      </c>
      <c r="E115">
        <v>1</v>
      </c>
      <c r="F115">
        <v>1</v>
      </c>
      <c r="G115">
        <v>1</v>
      </c>
      <c r="H115">
        <v>3</v>
      </c>
      <c r="I115" t="s">
        <v>91</v>
      </c>
      <c r="J115" t="s">
        <v>93</v>
      </c>
      <c r="K115" t="s">
        <v>92</v>
      </c>
      <c r="L115">
        <v>1348</v>
      </c>
      <c r="N115">
        <v>1009</v>
      </c>
      <c r="O115" t="s">
        <v>41</v>
      </c>
      <c r="P115" t="s">
        <v>41</v>
      </c>
      <c r="Q115">
        <v>1000</v>
      </c>
      <c r="W115">
        <v>0</v>
      </c>
      <c r="X115">
        <v>264248573</v>
      </c>
      <c r="Y115">
        <v>0.00031</v>
      </c>
      <c r="AA115">
        <v>104966.4</v>
      </c>
      <c r="AB115">
        <v>0</v>
      </c>
      <c r="AC115">
        <v>0</v>
      </c>
      <c r="AD115">
        <v>0</v>
      </c>
      <c r="AE115">
        <v>15620</v>
      </c>
      <c r="AF115">
        <v>0</v>
      </c>
      <c r="AG115">
        <v>0</v>
      </c>
      <c r="AH115">
        <v>0</v>
      </c>
      <c r="AI115">
        <v>6.72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0.00031</v>
      </c>
      <c r="AV115">
        <v>0</v>
      </c>
      <c r="AW115">
        <v>2</v>
      </c>
      <c r="AX115">
        <v>55658820</v>
      </c>
      <c r="AY115">
        <v>1</v>
      </c>
      <c r="AZ115">
        <v>0</v>
      </c>
      <c r="BA115">
        <v>125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Y115*Source!I65</f>
        <v>7.439999999999999E-05</v>
      </c>
      <c r="CY115">
        <f t="shared" si="35"/>
        <v>104966.4</v>
      </c>
      <c r="CZ115">
        <f t="shared" si="36"/>
        <v>15620</v>
      </c>
      <c r="DA115">
        <f t="shared" si="37"/>
        <v>6.72</v>
      </c>
      <c r="DB115">
        <f t="shared" si="38"/>
        <v>4.84</v>
      </c>
      <c r="DC115">
        <f t="shared" si="39"/>
        <v>0</v>
      </c>
    </row>
    <row r="116" spans="1:107" ht="12.75">
      <c r="A116">
        <f>ROW(Source!A65)</f>
        <v>65</v>
      </c>
      <c r="B116">
        <v>55657272</v>
      </c>
      <c r="C116">
        <v>55658777</v>
      </c>
      <c r="D116">
        <v>53674786</v>
      </c>
      <c r="E116">
        <v>1</v>
      </c>
      <c r="F116">
        <v>1</v>
      </c>
      <c r="G116">
        <v>1</v>
      </c>
      <c r="H116">
        <v>3</v>
      </c>
      <c r="I116" t="s">
        <v>95</v>
      </c>
      <c r="J116" t="s">
        <v>97</v>
      </c>
      <c r="K116" t="s">
        <v>96</v>
      </c>
      <c r="L116">
        <v>1346</v>
      </c>
      <c r="N116">
        <v>1009</v>
      </c>
      <c r="O116" t="s">
        <v>51</v>
      </c>
      <c r="P116" t="s">
        <v>51</v>
      </c>
      <c r="Q116">
        <v>1</v>
      </c>
      <c r="W116">
        <v>0</v>
      </c>
      <c r="X116">
        <v>-1449230318</v>
      </c>
      <c r="Y116">
        <v>0.6</v>
      </c>
      <c r="AA116">
        <v>63.3</v>
      </c>
      <c r="AB116">
        <v>0</v>
      </c>
      <c r="AC116">
        <v>0</v>
      </c>
      <c r="AD116">
        <v>0</v>
      </c>
      <c r="AE116">
        <v>9.42</v>
      </c>
      <c r="AF116">
        <v>0</v>
      </c>
      <c r="AG116">
        <v>0</v>
      </c>
      <c r="AH116">
        <v>0</v>
      </c>
      <c r="AI116">
        <v>6.72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0.6</v>
      </c>
      <c r="AV116">
        <v>0</v>
      </c>
      <c r="AW116">
        <v>2</v>
      </c>
      <c r="AX116">
        <v>55658821</v>
      </c>
      <c r="AY116">
        <v>1</v>
      </c>
      <c r="AZ116">
        <v>0</v>
      </c>
      <c r="BA116">
        <v>126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Y116*Source!I65</f>
        <v>0.144</v>
      </c>
      <c r="CY116">
        <f t="shared" si="35"/>
        <v>63.3</v>
      </c>
      <c r="CZ116">
        <f t="shared" si="36"/>
        <v>9.42</v>
      </c>
      <c r="DA116">
        <f t="shared" si="37"/>
        <v>6.72</v>
      </c>
      <c r="DB116">
        <f t="shared" si="38"/>
        <v>5.65</v>
      </c>
      <c r="DC116">
        <f t="shared" si="39"/>
        <v>0</v>
      </c>
    </row>
    <row r="117" spans="1:107" ht="12.75">
      <c r="A117">
        <f>ROW(Source!A68)</f>
        <v>68</v>
      </c>
      <c r="B117">
        <v>55656218</v>
      </c>
      <c r="C117">
        <v>55658739</v>
      </c>
      <c r="D117">
        <v>53630109</v>
      </c>
      <c r="E117">
        <v>70</v>
      </c>
      <c r="F117">
        <v>1</v>
      </c>
      <c r="G117">
        <v>1</v>
      </c>
      <c r="H117">
        <v>1</v>
      </c>
      <c r="I117" t="s">
        <v>387</v>
      </c>
      <c r="K117" t="s">
        <v>388</v>
      </c>
      <c r="L117">
        <v>1191</v>
      </c>
      <c r="N117">
        <v>1013</v>
      </c>
      <c r="O117" t="s">
        <v>358</v>
      </c>
      <c r="P117" t="s">
        <v>358</v>
      </c>
      <c r="Q117">
        <v>1</v>
      </c>
      <c r="W117">
        <v>0</v>
      </c>
      <c r="X117">
        <v>-1111239348</v>
      </c>
      <c r="Y117">
        <v>17.3</v>
      </c>
      <c r="AA117">
        <v>0</v>
      </c>
      <c r="AB117">
        <v>0</v>
      </c>
      <c r="AC117">
        <v>0</v>
      </c>
      <c r="AD117">
        <v>9.62</v>
      </c>
      <c r="AE117">
        <v>0</v>
      </c>
      <c r="AF117">
        <v>0</v>
      </c>
      <c r="AG117">
        <v>0</v>
      </c>
      <c r="AH117">
        <v>9.62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17.3</v>
      </c>
      <c r="AV117">
        <v>1</v>
      </c>
      <c r="AW117">
        <v>2</v>
      </c>
      <c r="AX117">
        <v>55658740</v>
      </c>
      <c r="AY117">
        <v>1</v>
      </c>
      <c r="AZ117">
        <v>0</v>
      </c>
      <c r="BA117">
        <v>127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Y117*Source!I68</f>
        <v>4.152</v>
      </c>
      <c r="CY117">
        <f>AD117</f>
        <v>9.62</v>
      </c>
      <c r="CZ117">
        <f>AH117</f>
        <v>9.62</v>
      </c>
      <c r="DA117">
        <f>AL117</f>
        <v>1</v>
      </c>
      <c r="DB117">
        <f t="shared" si="38"/>
        <v>166.43</v>
      </c>
      <c r="DC117">
        <f t="shared" si="39"/>
        <v>0</v>
      </c>
    </row>
    <row r="118" spans="1:107" ht="12.75">
      <c r="A118">
        <f>ROW(Source!A68)</f>
        <v>68</v>
      </c>
      <c r="B118">
        <v>55656218</v>
      </c>
      <c r="C118">
        <v>55658739</v>
      </c>
      <c r="D118">
        <v>53630257</v>
      </c>
      <c r="E118">
        <v>70</v>
      </c>
      <c r="F118">
        <v>1</v>
      </c>
      <c r="G118">
        <v>1</v>
      </c>
      <c r="H118">
        <v>1</v>
      </c>
      <c r="I118" t="s">
        <v>359</v>
      </c>
      <c r="K118" t="s">
        <v>360</v>
      </c>
      <c r="L118">
        <v>1191</v>
      </c>
      <c r="N118">
        <v>1013</v>
      </c>
      <c r="O118" t="s">
        <v>358</v>
      </c>
      <c r="P118" t="s">
        <v>358</v>
      </c>
      <c r="Q118">
        <v>1</v>
      </c>
      <c r="W118">
        <v>0</v>
      </c>
      <c r="X118">
        <v>-1417349443</v>
      </c>
      <c r="Y118">
        <v>18.2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18.2</v>
      </c>
      <c r="AV118">
        <v>2</v>
      </c>
      <c r="AW118">
        <v>2</v>
      </c>
      <c r="AX118">
        <v>55658741</v>
      </c>
      <c r="AY118">
        <v>1</v>
      </c>
      <c r="AZ118">
        <v>0</v>
      </c>
      <c r="BA118">
        <v>128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Y118*Source!I68</f>
        <v>4.367999999999999</v>
      </c>
      <c r="CY118">
        <f>AD118</f>
        <v>0</v>
      </c>
      <c r="CZ118">
        <f>AH118</f>
        <v>0</v>
      </c>
      <c r="DA118">
        <f>AL118</f>
        <v>1</v>
      </c>
      <c r="DB118">
        <f t="shared" si="38"/>
        <v>0</v>
      </c>
      <c r="DC118">
        <f t="shared" si="39"/>
        <v>0</v>
      </c>
    </row>
    <row r="119" spans="1:107" ht="12.75">
      <c r="A119">
        <f>ROW(Source!A68)</f>
        <v>68</v>
      </c>
      <c r="B119">
        <v>55656218</v>
      </c>
      <c r="C119">
        <v>55658739</v>
      </c>
      <c r="D119">
        <v>53792927</v>
      </c>
      <c r="E119">
        <v>1</v>
      </c>
      <c r="F119">
        <v>1</v>
      </c>
      <c r="G119">
        <v>1</v>
      </c>
      <c r="H119">
        <v>2</v>
      </c>
      <c r="I119" t="s">
        <v>368</v>
      </c>
      <c r="J119" t="s">
        <v>369</v>
      </c>
      <c r="K119" t="s">
        <v>370</v>
      </c>
      <c r="L119">
        <v>1367</v>
      </c>
      <c r="N119">
        <v>1011</v>
      </c>
      <c r="O119" t="s">
        <v>364</v>
      </c>
      <c r="P119" t="s">
        <v>364</v>
      </c>
      <c r="Q119">
        <v>1</v>
      </c>
      <c r="W119">
        <v>0</v>
      </c>
      <c r="X119">
        <v>509054691</v>
      </c>
      <c r="Y119">
        <v>1.8</v>
      </c>
      <c r="AA119">
        <v>0</v>
      </c>
      <c r="AB119">
        <v>65.71</v>
      </c>
      <c r="AC119">
        <v>11.6</v>
      </c>
      <c r="AD119">
        <v>0</v>
      </c>
      <c r="AE119">
        <v>0</v>
      </c>
      <c r="AF119">
        <v>65.71</v>
      </c>
      <c r="AG119">
        <v>11.6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1.8</v>
      </c>
      <c r="AV119">
        <v>0</v>
      </c>
      <c r="AW119">
        <v>2</v>
      </c>
      <c r="AX119">
        <v>55658742</v>
      </c>
      <c r="AY119">
        <v>1</v>
      </c>
      <c r="AZ119">
        <v>0</v>
      </c>
      <c r="BA119">
        <v>129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Y119*Source!I68</f>
        <v>0.432</v>
      </c>
      <c r="CY119">
        <f>AB119</f>
        <v>65.71</v>
      </c>
      <c r="CZ119">
        <f>AF119</f>
        <v>65.71</v>
      </c>
      <c r="DA119">
        <f>AJ119</f>
        <v>1</v>
      </c>
      <c r="DB119">
        <f t="shared" si="38"/>
        <v>118.28</v>
      </c>
      <c r="DC119">
        <f t="shared" si="39"/>
        <v>20.88</v>
      </c>
    </row>
    <row r="120" spans="1:107" ht="12.75">
      <c r="A120">
        <f>ROW(Source!A68)</f>
        <v>68</v>
      </c>
      <c r="B120">
        <v>55656218</v>
      </c>
      <c r="C120">
        <v>55658739</v>
      </c>
      <c r="D120">
        <v>53793708</v>
      </c>
      <c r="E120">
        <v>1</v>
      </c>
      <c r="F120">
        <v>1</v>
      </c>
      <c r="G120">
        <v>1</v>
      </c>
      <c r="H120">
        <v>2</v>
      </c>
      <c r="I120" t="s">
        <v>389</v>
      </c>
      <c r="J120" t="s">
        <v>390</v>
      </c>
      <c r="K120" t="s">
        <v>391</v>
      </c>
      <c r="L120">
        <v>1367</v>
      </c>
      <c r="N120">
        <v>1011</v>
      </c>
      <c r="O120" t="s">
        <v>364</v>
      </c>
      <c r="P120" t="s">
        <v>364</v>
      </c>
      <c r="Q120">
        <v>1</v>
      </c>
      <c r="W120">
        <v>0</v>
      </c>
      <c r="X120">
        <v>-396303788</v>
      </c>
      <c r="Y120">
        <v>16.4</v>
      </c>
      <c r="AA120">
        <v>0</v>
      </c>
      <c r="AB120">
        <v>27.42</v>
      </c>
      <c r="AC120">
        <v>11.6</v>
      </c>
      <c r="AD120">
        <v>0</v>
      </c>
      <c r="AE120">
        <v>0</v>
      </c>
      <c r="AF120">
        <v>27.42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16.4</v>
      </c>
      <c r="AV120">
        <v>0</v>
      </c>
      <c r="AW120">
        <v>2</v>
      </c>
      <c r="AX120">
        <v>55658743</v>
      </c>
      <c r="AY120">
        <v>1</v>
      </c>
      <c r="AZ120">
        <v>0</v>
      </c>
      <c r="BA120">
        <v>130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Y120*Source!I68</f>
        <v>3.9359999999999995</v>
      </c>
      <c r="CY120">
        <f>AB120</f>
        <v>27.42</v>
      </c>
      <c r="CZ120">
        <f>AF120</f>
        <v>27.42</v>
      </c>
      <c r="DA120">
        <f>AJ120</f>
        <v>1</v>
      </c>
      <c r="DB120">
        <f t="shared" si="38"/>
        <v>449.69</v>
      </c>
      <c r="DC120">
        <f t="shared" si="39"/>
        <v>190.24</v>
      </c>
    </row>
    <row r="121" spans="1:107" ht="12.75">
      <c r="A121">
        <f>ROW(Source!A68)</f>
        <v>68</v>
      </c>
      <c r="B121">
        <v>55656218</v>
      </c>
      <c r="C121">
        <v>55658739</v>
      </c>
      <c r="D121">
        <v>53642555</v>
      </c>
      <c r="E121">
        <v>1</v>
      </c>
      <c r="F121">
        <v>1</v>
      </c>
      <c r="G121">
        <v>1</v>
      </c>
      <c r="H121">
        <v>3</v>
      </c>
      <c r="I121" t="s">
        <v>392</v>
      </c>
      <c r="J121" t="s">
        <v>393</v>
      </c>
      <c r="K121" t="s">
        <v>394</v>
      </c>
      <c r="L121">
        <v>1339</v>
      </c>
      <c r="N121">
        <v>1007</v>
      </c>
      <c r="O121" t="s">
        <v>46</v>
      </c>
      <c r="P121" t="s">
        <v>46</v>
      </c>
      <c r="Q121">
        <v>1</v>
      </c>
      <c r="W121">
        <v>0</v>
      </c>
      <c r="X121">
        <v>-143474561</v>
      </c>
      <c r="Y121">
        <v>0.443</v>
      </c>
      <c r="AA121">
        <v>2.44</v>
      </c>
      <c r="AB121">
        <v>0</v>
      </c>
      <c r="AC121">
        <v>0</v>
      </c>
      <c r="AD121">
        <v>0</v>
      </c>
      <c r="AE121">
        <v>2.44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0.443</v>
      </c>
      <c r="AV121">
        <v>0</v>
      </c>
      <c r="AW121">
        <v>2</v>
      </c>
      <c r="AX121">
        <v>55658744</v>
      </c>
      <c r="AY121">
        <v>1</v>
      </c>
      <c r="AZ121">
        <v>0</v>
      </c>
      <c r="BA121">
        <v>131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Y121*Source!I68</f>
        <v>0.10632</v>
      </c>
      <c r="CY121">
        <f>AA121</f>
        <v>2.44</v>
      </c>
      <c r="CZ121">
        <f>AE121</f>
        <v>2.44</v>
      </c>
      <c r="DA121">
        <f>AI121</f>
        <v>1</v>
      </c>
      <c r="DB121">
        <f t="shared" si="38"/>
        <v>1.08</v>
      </c>
      <c r="DC121">
        <f t="shared" si="39"/>
        <v>0</v>
      </c>
    </row>
    <row r="122" spans="1:107" ht="12.75">
      <c r="A122">
        <f>ROW(Source!A68)</f>
        <v>68</v>
      </c>
      <c r="B122">
        <v>55656218</v>
      </c>
      <c r="C122">
        <v>55658739</v>
      </c>
      <c r="D122">
        <v>53645548</v>
      </c>
      <c r="E122">
        <v>1</v>
      </c>
      <c r="F122">
        <v>1</v>
      </c>
      <c r="G122">
        <v>1</v>
      </c>
      <c r="H122">
        <v>3</v>
      </c>
      <c r="I122" t="s">
        <v>136</v>
      </c>
      <c r="J122" t="s">
        <v>138</v>
      </c>
      <c r="K122" t="s">
        <v>137</v>
      </c>
      <c r="L122">
        <v>1371</v>
      </c>
      <c r="N122">
        <v>1013</v>
      </c>
      <c r="O122" t="s">
        <v>109</v>
      </c>
      <c r="P122" t="s">
        <v>109</v>
      </c>
      <c r="Q122">
        <v>1</v>
      </c>
      <c r="W122">
        <v>0</v>
      </c>
      <c r="X122">
        <v>1290926497</v>
      </c>
      <c r="Y122">
        <v>8.333333</v>
      </c>
      <c r="AA122">
        <v>839.32</v>
      </c>
      <c r="AB122">
        <v>0</v>
      </c>
      <c r="AC122">
        <v>0</v>
      </c>
      <c r="AD122">
        <v>0</v>
      </c>
      <c r="AE122">
        <v>839.32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T122">
        <v>8.333333</v>
      </c>
      <c r="AV122">
        <v>0</v>
      </c>
      <c r="AW122">
        <v>1</v>
      </c>
      <c r="AX122">
        <v>-1</v>
      </c>
      <c r="AY122">
        <v>0</v>
      </c>
      <c r="AZ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Y122*Source!I68</f>
        <v>1.9999999199999998</v>
      </c>
      <c r="CY122">
        <f>AA122</f>
        <v>839.32</v>
      </c>
      <c r="CZ122">
        <f>AE122</f>
        <v>839.32</v>
      </c>
      <c r="DA122">
        <f>AI122</f>
        <v>1</v>
      </c>
      <c r="DB122">
        <f t="shared" si="38"/>
        <v>6994.33</v>
      </c>
      <c r="DC122">
        <f t="shared" si="39"/>
        <v>0</v>
      </c>
    </row>
    <row r="123" spans="1:107" ht="12.75">
      <c r="A123">
        <f>ROW(Source!A69)</f>
        <v>69</v>
      </c>
      <c r="B123">
        <v>55657272</v>
      </c>
      <c r="C123">
        <v>55658739</v>
      </c>
      <c r="D123">
        <v>53630109</v>
      </c>
      <c r="E123">
        <v>70</v>
      </c>
      <c r="F123">
        <v>1</v>
      </c>
      <c r="G123">
        <v>1</v>
      </c>
      <c r="H123">
        <v>1</v>
      </c>
      <c r="I123" t="s">
        <v>387</v>
      </c>
      <c r="K123" t="s">
        <v>388</v>
      </c>
      <c r="L123">
        <v>1191</v>
      </c>
      <c r="N123">
        <v>1013</v>
      </c>
      <c r="O123" t="s">
        <v>358</v>
      </c>
      <c r="P123" t="s">
        <v>358</v>
      </c>
      <c r="Q123">
        <v>1</v>
      </c>
      <c r="W123">
        <v>0</v>
      </c>
      <c r="X123">
        <v>-1111239348</v>
      </c>
      <c r="Y123">
        <v>17.3</v>
      </c>
      <c r="AA123">
        <v>0</v>
      </c>
      <c r="AB123">
        <v>0</v>
      </c>
      <c r="AC123">
        <v>0</v>
      </c>
      <c r="AD123">
        <v>359.21</v>
      </c>
      <c r="AE123">
        <v>0</v>
      </c>
      <c r="AF123">
        <v>0</v>
      </c>
      <c r="AG123">
        <v>0</v>
      </c>
      <c r="AH123">
        <v>9.62</v>
      </c>
      <c r="AI123">
        <v>1</v>
      </c>
      <c r="AJ123">
        <v>1</v>
      </c>
      <c r="AK123">
        <v>1</v>
      </c>
      <c r="AL123">
        <v>37.34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17.3</v>
      </c>
      <c r="AV123">
        <v>1</v>
      </c>
      <c r="AW123">
        <v>2</v>
      </c>
      <c r="AX123">
        <v>55658740</v>
      </c>
      <c r="AY123">
        <v>1</v>
      </c>
      <c r="AZ123">
        <v>0</v>
      </c>
      <c r="BA123">
        <v>133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Y123*Source!I69</f>
        <v>4.152</v>
      </c>
      <c r="CY123">
        <f>AD123</f>
        <v>359.21</v>
      </c>
      <c r="CZ123">
        <f>AH123</f>
        <v>9.62</v>
      </c>
      <c r="DA123">
        <f>AL123</f>
        <v>37.34</v>
      </c>
      <c r="DB123">
        <f t="shared" si="38"/>
        <v>166.43</v>
      </c>
      <c r="DC123">
        <f t="shared" si="39"/>
        <v>0</v>
      </c>
    </row>
    <row r="124" spans="1:107" ht="12.75">
      <c r="A124">
        <f>ROW(Source!A69)</f>
        <v>69</v>
      </c>
      <c r="B124">
        <v>55657272</v>
      </c>
      <c r="C124">
        <v>55658739</v>
      </c>
      <c r="D124">
        <v>53630257</v>
      </c>
      <c r="E124">
        <v>70</v>
      </c>
      <c r="F124">
        <v>1</v>
      </c>
      <c r="G124">
        <v>1</v>
      </c>
      <c r="H124">
        <v>1</v>
      </c>
      <c r="I124" t="s">
        <v>359</v>
      </c>
      <c r="K124" t="s">
        <v>360</v>
      </c>
      <c r="L124">
        <v>1191</v>
      </c>
      <c r="N124">
        <v>1013</v>
      </c>
      <c r="O124" t="s">
        <v>358</v>
      </c>
      <c r="P124" t="s">
        <v>358</v>
      </c>
      <c r="Q124">
        <v>1</v>
      </c>
      <c r="W124">
        <v>0</v>
      </c>
      <c r="X124">
        <v>-1417349443</v>
      </c>
      <c r="Y124">
        <v>18.2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37.34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18.2</v>
      </c>
      <c r="AV124">
        <v>2</v>
      </c>
      <c r="AW124">
        <v>2</v>
      </c>
      <c r="AX124">
        <v>55658741</v>
      </c>
      <c r="AY124">
        <v>1</v>
      </c>
      <c r="AZ124">
        <v>0</v>
      </c>
      <c r="BA124">
        <v>134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Y124*Source!I69</f>
        <v>4.367999999999999</v>
      </c>
      <c r="CY124">
        <f>AD124</f>
        <v>0</v>
      </c>
      <c r="CZ124">
        <f>AH124</f>
        <v>0</v>
      </c>
      <c r="DA124">
        <f>AL124</f>
        <v>1</v>
      </c>
      <c r="DB124">
        <f t="shared" si="38"/>
        <v>0</v>
      </c>
      <c r="DC124">
        <f t="shared" si="39"/>
        <v>0</v>
      </c>
    </row>
    <row r="125" spans="1:107" ht="12.75">
      <c r="A125">
        <f>ROW(Source!A69)</f>
        <v>69</v>
      </c>
      <c r="B125">
        <v>55657272</v>
      </c>
      <c r="C125">
        <v>55658739</v>
      </c>
      <c r="D125">
        <v>53792927</v>
      </c>
      <c r="E125">
        <v>1</v>
      </c>
      <c r="F125">
        <v>1</v>
      </c>
      <c r="G125">
        <v>1</v>
      </c>
      <c r="H125">
        <v>2</v>
      </c>
      <c r="I125" t="s">
        <v>368</v>
      </c>
      <c r="J125" t="s">
        <v>369</v>
      </c>
      <c r="K125" t="s">
        <v>370</v>
      </c>
      <c r="L125">
        <v>1367</v>
      </c>
      <c r="N125">
        <v>1011</v>
      </c>
      <c r="O125" t="s">
        <v>364</v>
      </c>
      <c r="P125" t="s">
        <v>364</v>
      </c>
      <c r="Q125">
        <v>1</v>
      </c>
      <c r="W125">
        <v>0</v>
      </c>
      <c r="X125">
        <v>509054691</v>
      </c>
      <c r="Y125">
        <v>1.8</v>
      </c>
      <c r="AA125">
        <v>0</v>
      </c>
      <c r="AB125">
        <v>870</v>
      </c>
      <c r="AC125">
        <v>433.14</v>
      </c>
      <c r="AD125">
        <v>0</v>
      </c>
      <c r="AE125">
        <v>0</v>
      </c>
      <c r="AF125">
        <v>65.71</v>
      </c>
      <c r="AG125">
        <v>11.6</v>
      </c>
      <c r="AH125">
        <v>0</v>
      </c>
      <c r="AI125">
        <v>1</v>
      </c>
      <c r="AJ125">
        <v>13.24</v>
      </c>
      <c r="AK125">
        <v>37.34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1.8</v>
      </c>
      <c r="AV125">
        <v>0</v>
      </c>
      <c r="AW125">
        <v>2</v>
      </c>
      <c r="AX125">
        <v>55658742</v>
      </c>
      <c r="AY125">
        <v>1</v>
      </c>
      <c r="AZ125">
        <v>0</v>
      </c>
      <c r="BA125">
        <v>135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Y125*Source!I69</f>
        <v>0.432</v>
      </c>
      <c r="CY125">
        <f>AB125</f>
        <v>870</v>
      </c>
      <c r="CZ125">
        <f>AF125</f>
        <v>65.71</v>
      </c>
      <c r="DA125">
        <f>AJ125</f>
        <v>13.24</v>
      </c>
      <c r="DB125">
        <f t="shared" si="38"/>
        <v>118.28</v>
      </c>
      <c r="DC125">
        <f t="shared" si="39"/>
        <v>20.88</v>
      </c>
    </row>
    <row r="126" spans="1:107" ht="12.75">
      <c r="A126">
        <f>ROW(Source!A69)</f>
        <v>69</v>
      </c>
      <c r="B126">
        <v>55657272</v>
      </c>
      <c r="C126">
        <v>55658739</v>
      </c>
      <c r="D126">
        <v>53793708</v>
      </c>
      <c r="E126">
        <v>1</v>
      </c>
      <c r="F126">
        <v>1</v>
      </c>
      <c r="G126">
        <v>1</v>
      </c>
      <c r="H126">
        <v>2</v>
      </c>
      <c r="I126" t="s">
        <v>389</v>
      </c>
      <c r="J126" t="s">
        <v>390</v>
      </c>
      <c r="K126" t="s">
        <v>391</v>
      </c>
      <c r="L126">
        <v>1367</v>
      </c>
      <c r="N126">
        <v>1011</v>
      </c>
      <c r="O126" t="s">
        <v>364</v>
      </c>
      <c r="P126" t="s">
        <v>364</v>
      </c>
      <c r="Q126">
        <v>1</v>
      </c>
      <c r="W126">
        <v>0</v>
      </c>
      <c r="X126">
        <v>-396303788</v>
      </c>
      <c r="Y126">
        <v>16.4</v>
      </c>
      <c r="AA126">
        <v>0</v>
      </c>
      <c r="AB126">
        <v>363.04</v>
      </c>
      <c r="AC126">
        <v>433.14</v>
      </c>
      <c r="AD126">
        <v>0</v>
      </c>
      <c r="AE126">
        <v>0</v>
      </c>
      <c r="AF126">
        <v>27.42</v>
      </c>
      <c r="AG126">
        <v>11.6</v>
      </c>
      <c r="AH126">
        <v>0</v>
      </c>
      <c r="AI126">
        <v>1</v>
      </c>
      <c r="AJ126">
        <v>13.24</v>
      </c>
      <c r="AK126">
        <v>37.34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16.4</v>
      </c>
      <c r="AV126">
        <v>0</v>
      </c>
      <c r="AW126">
        <v>2</v>
      </c>
      <c r="AX126">
        <v>55658743</v>
      </c>
      <c r="AY126">
        <v>1</v>
      </c>
      <c r="AZ126">
        <v>0</v>
      </c>
      <c r="BA126">
        <v>136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Y126*Source!I69</f>
        <v>3.9359999999999995</v>
      </c>
      <c r="CY126">
        <f>AB126</f>
        <v>363.04</v>
      </c>
      <c r="CZ126">
        <f>AF126</f>
        <v>27.42</v>
      </c>
      <c r="DA126">
        <f>AJ126</f>
        <v>13.24</v>
      </c>
      <c r="DB126">
        <f t="shared" si="38"/>
        <v>449.69</v>
      </c>
      <c r="DC126">
        <f t="shared" si="39"/>
        <v>190.24</v>
      </c>
    </row>
    <row r="127" spans="1:107" ht="12.75">
      <c r="A127">
        <f>ROW(Source!A69)</f>
        <v>69</v>
      </c>
      <c r="B127">
        <v>55657272</v>
      </c>
      <c r="C127">
        <v>55658739</v>
      </c>
      <c r="D127">
        <v>53642555</v>
      </c>
      <c r="E127">
        <v>1</v>
      </c>
      <c r="F127">
        <v>1</v>
      </c>
      <c r="G127">
        <v>1</v>
      </c>
      <c r="H127">
        <v>3</v>
      </c>
      <c r="I127" t="s">
        <v>392</v>
      </c>
      <c r="J127" t="s">
        <v>393</v>
      </c>
      <c r="K127" t="s">
        <v>394</v>
      </c>
      <c r="L127">
        <v>1339</v>
      </c>
      <c r="N127">
        <v>1007</v>
      </c>
      <c r="O127" t="s">
        <v>46</v>
      </c>
      <c r="P127" t="s">
        <v>46</v>
      </c>
      <c r="Q127">
        <v>1</v>
      </c>
      <c r="W127">
        <v>0</v>
      </c>
      <c r="X127">
        <v>-143474561</v>
      </c>
      <c r="Y127">
        <v>0.443</v>
      </c>
      <c r="AA127">
        <v>16.4</v>
      </c>
      <c r="AB127">
        <v>0</v>
      </c>
      <c r="AC127">
        <v>0</v>
      </c>
      <c r="AD127">
        <v>0</v>
      </c>
      <c r="AE127">
        <v>2.44</v>
      </c>
      <c r="AF127">
        <v>0</v>
      </c>
      <c r="AG127">
        <v>0</v>
      </c>
      <c r="AH127">
        <v>0</v>
      </c>
      <c r="AI127">
        <v>6.72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0.443</v>
      </c>
      <c r="AV127">
        <v>0</v>
      </c>
      <c r="AW127">
        <v>2</v>
      </c>
      <c r="AX127">
        <v>55658744</v>
      </c>
      <c r="AY127">
        <v>1</v>
      </c>
      <c r="AZ127">
        <v>0</v>
      </c>
      <c r="BA127">
        <v>137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Y127*Source!I69</f>
        <v>0.10632</v>
      </c>
      <c r="CY127">
        <f>AA127</f>
        <v>16.4</v>
      </c>
      <c r="CZ127">
        <f>AE127</f>
        <v>2.44</v>
      </c>
      <c r="DA127">
        <f>AI127</f>
        <v>6.72</v>
      </c>
      <c r="DB127">
        <f t="shared" si="38"/>
        <v>1.08</v>
      </c>
      <c r="DC127">
        <f t="shared" si="39"/>
        <v>0</v>
      </c>
    </row>
    <row r="128" spans="1:107" ht="12.75">
      <c r="A128">
        <f>ROW(Source!A69)</f>
        <v>69</v>
      </c>
      <c r="B128">
        <v>55657272</v>
      </c>
      <c r="C128">
        <v>55658739</v>
      </c>
      <c r="D128">
        <v>53645548</v>
      </c>
      <c r="E128">
        <v>1</v>
      </c>
      <c r="F128">
        <v>1</v>
      </c>
      <c r="G128">
        <v>1</v>
      </c>
      <c r="H128">
        <v>3</v>
      </c>
      <c r="I128" t="s">
        <v>136</v>
      </c>
      <c r="J128" t="s">
        <v>138</v>
      </c>
      <c r="K128" t="s">
        <v>137</v>
      </c>
      <c r="L128">
        <v>1371</v>
      </c>
      <c r="N128">
        <v>1013</v>
      </c>
      <c r="O128" t="s">
        <v>109</v>
      </c>
      <c r="P128" t="s">
        <v>109</v>
      </c>
      <c r="Q128">
        <v>1</v>
      </c>
      <c r="W128">
        <v>0</v>
      </c>
      <c r="X128">
        <v>1290926497</v>
      </c>
      <c r="Y128">
        <v>8.333333</v>
      </c>
      <c r="AA128">
        <v>5640.23</v>
      </c>
      <c r="AB128">
        <v>0</v>
      </c>
      <c r="AC128">
        <v>0</v>
      </c>
      <c r="AD128">
        <v>0</v>
      </c>
      <c r="AE128">
        <v>839.32</v>
      </c>
      <c r="AF128">
        <v>0</v>
      </c>
      <c r="AG128">
        <v>0</v>
      </c>
      <c r="AH128">
        <v>0</v>
      </c>
      <c r="AI128">
        <v>6.72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T128">
        <v>8.333333</v>
      </c>
      <c r="AV128">
        <v>0</v>
      </c>
      <c r="AW128">
        <v>1</v>
      </c>
      <c r="AX128">
        <v>-1</v>
      </c>
      <c r="AY128">
        <v>0</v>
      </c>
      <c r="AZ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Y128*Source!I69</f>
        <v>1.9999999199999998</v>
      </c>
      <c r="CY128">
        <f>AA128</f>
        <v>5640.23</v>
      </c>
      <c r="CZ128">
        <f>AE128</f>
        <v>839.32</v>
      </c>
      <c r="DA128">
        <f>AI128</f>
        <v>6.72</v>
      </c>
      <c r="DB128">
        <f t="shared" si="38"/>
        <v>6994.33</v>
      </c>
      <c r="DC128">
        <f t="shared" si="39"/>
        <v>0</v>
      </c>
    </row>
    <row r="129" spans="1:107" ht="12.75">
      <c r="A129">
        <f>ROW(Source!A72)</f>
        <v>72</v>
      </c>
      <c r="B129">
        <v>55656218</v>
      </c>
      <c r="C129">
        <v>55658732</v>
      </c>
      <c r="D129">
        <v>53630073</v>
      </c>
      <c r="E129">
        <v>70</v>
      </c>
      <c r="F129">
        <v>1</v>
      </c>
      <c r="G129">
        <v>1</v>
      </c>
      <c r="H129">
        <v>1</v>
      </c>
      <c r="I129" t="s">
        <v>385</v>
      </c>
      <c r="K129" t="s">
        <v>386</v>
      </c>
      <c r="L129">
        <v>1191</v>
      </c>
      <c r="N129">
        <v>1013</v>
      </c>
      <c r="O129" t="s">
        <v>358</v>
      </c>
      <c r="P129" t="s">
        <v>358</v>
      </c>
      <c r="Q129">
        <v>1</v>
      </c>
      <c r="W129">
        <v>0</v>
      </c>
      <c r="X129">
        <v>-1759674247</v>
      </c>
      <c r="Y129">
        <v>332.34999999999997</v>
      </c>
      <c r="AA129">
        <v>0</v>
      </c>
      <c r="AB129">
        <v>0</v>
      </c>
      <c r="AC129">
        <v>0</v>
      </c>
      <c r="AD129">
        <v>8.86</v>
      </c>
      <c r="AE129">
        <v>0</v>
      </c>
      <c r="AF129">
        <v>0</v>
      </c>
      <c r="AG129">
        <v>0</v>
      </c>
      <c r="AH129">
        <v>8.86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289</v>
      </c>
      <c r="AU129" t="s">
        <v>118</v>
      </c>
      <c r="AV129">
        <v>1</v>
      </c>
      <c r="AW129">
        <v>2</v>
      </c>
      <c r="AX129">
        <v>55658733</v>
      </c>
      <c r="AY129">
        <v>1</v>
      </c>
      <c r="AZ129">
        <v>0</v>
      </c>
      <c r="BA129">
        <v>139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Y129*Source!I72</f>
        <v>3.9881999999999995</v>
      </c>
      <c r="CY129">
        <f>AD129</f>
        <v>8.86</v>
      </c>
      <c r="CZ129">
        <f>AH129</f>
        <v>8.86</v>
      </c>
      <c r="DA129">
        <f>AL129</f>
        <v>1</v>
      </c>
      <c r="DB129">
        <f>ROUND((ROUND(AT129*CZ129,2)*ROUND(1.15,7)),2)</f>
        <v>2944.62</v>
      </c>
      <c r="DC129">
        <f>ROUND((ROUND(AT129*AG129,2)*ROUND(1.15,7)),2)</f>
        <v>0</v>
      </c>
    </row>
    <row r="130" spans="1:107" ht="12.75">
      <c r="A130">
        <f>ROW(Source!A72)</f>
        <v>72</v>
      </c>
      <c r="B130">
        <v>55656218</v>
      </c>
      <c r="C130">
        <v>55658732</v>
      </c>
      <c r="D130">
        <v>53630257</v>
      </c>
      <c r="E130">
        <v>70</v>
      </c>
      <c r="F130">
        <v>1</v>
      </c>
      <c r="G130">
        <v>1</v>
      </c>
      <c r="H130">
        <v>1</v>
      </c>
      <c r="I130" t="s">
        <v>359</v>
      </c>
      <c r="K130" t="s">
        <v>360</v>
      </c>
      <c r="L130">
        <v>1191</v>
      </c>
      <c r="N130">
        <v>1013</v>
      </c>
      <c r="O130" t="s">
        <v>358</v>
      </c>
      <c r="P130" t="s">
        <v>358</v>
      </c>
      <c r="Q130">
        <v>1</v>
      </c>
      <c r="W130">
        <v>0</v>
      </c>
      <c r="X130">
        <v>-1417349443</v>
      </c>
      <c r="Y130">
        <v>0.7374999999999999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0.59</v>
      </c>
      <c r="AU130" t="s">
        <v>117</v>
      </c>
      <c r="AV130">
        <v>2</v>
      </c>
      <c r="AW130">
        <v>2</v>
      </c>
      <c r="AX130">
        <v>55658734</v>
      </c>
      <c r="AY130">
        <v>1</v>
      </c>
      <c r="AZ130">
        <v>0</v>
      </c>
      <c r="BA130">
        <v>140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Y130*Source!I72</f>
        <v>0.00885</v>
      </c>
      <c r="CY130">
        <f>AD130</f>
        <v>0</v>
      </c>
      <c r="CZ130">
        <f>AH130</f>
        <v>0</v>
      </c>
      <c r="DA130">
        <f>AL130</f>
        <v>1</v>
      </c>
      <c r="DB130">
        <f>ROUND((ROUND(AT130*CZ130,2)*ROUND(1.25,7)),2)</f>
        <v>0</v>
      </c>
      <c r="DC130">
        <f>ROUND((ROUND(AT130*AG130,2)*ROUND(1.25,7)),2)</f>
        <v>0</v>
      </c>
    </row>
    <row r="131" spans="1:107" ht="12.75">
      <c r="A131">
        <f>ROW(Source!A72)</f>
        <v>72</v>
      </c>
      <c r="B131">
        <v>55656218</v>
      </c>
      <c r="C131">
        <v>55658732</v>
      </c>
      <c r="D131">
        <v>53791997</v>
      </c>
      <c r="E131">
        <v>1</v>
      </c>
      <c r="F131">
        <v>1</v>
      </c>
      <c r="G131">
        <v>1</v>
      </c>
      <c r="H131">
        <v>2</v>
      </c>
      <c r="I131" t="s">
        <v>361</v>
      </c>
      <c r="J131" t="s">
        <v>362</v>
      </c>
      <c r="K131" t="s">
        <v>363</v>
      </c>
      <c r="L131">
        <v>1367</v>
      </c>
      <c r="N131">
        <v>1011</v>
      </c>
      <c r="O131" t="s">
        <v>364</v>
      </c>
      <c r="P131" t="s">
        <v>364</v>
      </c>
      <c r="Q131">
        <v>1</v>
      </c>
      <c r="W131">
        <v>0</v>
      </c>
      <c r="X131">
        <v>-430484415</v>
      </c>
      <c r="Y131">
        <v>0.3125</v>
      </c>
      <c r="AA131">
        <v>0</v>
      </c>
      <c r="AB131">
        <v>115.4</v>
      </c>
      <c r="AC131">
        <v>13.5</v>
      </c>
      <c r="AD131">
        <v>0</v>
      </c>
      <c r="AE131">
        <v>0</v>
      </c>
      <c r="AF131">
        <v>115.4</v>
      </c>
      <c r="AG131">
        <v>13.5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0.25</v>
      </c>
      <c r="AU131" t="s">
        <v>117</v>
      </c>
      <c r="AV131">
        <v>0</v>
      </c>
      <c r="AW131">
        <v>2</v>
      </c>
      <c r="AX131">
        <v>55658735</v>
      </c>
      <c r="AY131">
        <v>1</v>
      </c>
      <c r="AZ131">
        <v>0</v>
      </c>
      <c r="BA131">
        <v>141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Y131*Source!I72</f>
        <v>0.00375</v>
      </c>
      <c r="CY131">
        <f>AB131</f>
        <v>115.4</v>
      </c>
      <c r="CZ131">
        <f>AF131</f>
        <v>115.4</v>
      </c>
      <c r="DA131">
        <f>AJ131</f>
        <v>1</v>
      </c>
      <c r="DB131">
        <f>ROUND((ROUND(AT131*CZ131,2)*ROUND(1.25,7)),2)</f>
        <v>36.06</v>
      </c>
      <c r="DC131">
        <f>ROUND((ROUND(AT131*AG131,2)*ROUND(1.25,7)),2)</f>
        <v>4.23</v>
      </c>
    </row>
    <row r="132" spans="1:107" ht="12.75">
      <c r="A132">
        <f>ROW(Source!A72)</f>
        <v>72</v>
      </c>
      <c r="B132">
        <v>55656218</v>
      </c>
      <c r="C132">
        <v>55658732</v>
      </c>
      <c r="D132">
        <v>53792927</v>
      </c>
      <c r="E132">
        <v>1</v>
      </c>
      <c r="F132">
        <v>1</v>
      </c>
      <c r="G132">
        <v>1</v>
      </c>
      <c r="H132">
        <v>2</v>
      </c>
      <c r="I132" t="s">
        <v>368</v>
      </c>
      <c r="J132" t="s">
        <v>369</v>
      </c>
      <c r="K132" t="s">
        <v>370</v>
      </c>
      <c r="L132">
        <v>1367</v>
      </c>
      <c r="N132">
        <v>1011</v>
      </c>
      <c r="O132" t="s">
        <v>364</v>
      </c>
      <c r="P132" t="s">
        <v>364</v>
      </c>
      <c r="Q132">
        <v>1</v>
      </c>
      <c r="W132">
        <v>0</v>
      </c>
      <c r="X132">
        <v>509054691</v>
      </c>
      <c r="Y132">
        <v>0.42500000000000004</v>
      </c>
      <c r="AA132">
        <v>0</v>
      </c>
      <c r="AB132">
        <v>65.71</v>
      </c>
      <c r="AC132">
        <v>11.6</v>
      </c>
      <c r="AD132">
        <v>0</v>
      </c>
      <c r="AE132">
        <v>0</v>
      </c>
      <c r="AF132">
        <v>65.71</v>
      </c>
      <c r="AG132">
        <v>11.6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0.34</v>
      </c>
      <c r="AU132" t="s">
        <v>117</v>
      </c>
      <c r="AV132">
        <v>0</v>
      </c>
      <c r="AW132">
        <v>2</v>
      </c>
      <c r="AX132">
        <v>55658736</v>
      </c>
      <c r="AY132">
        <v>1</v>
      </c>
      <c r="AZ132">
        <v>0</v>
      </c>
      <c r="BA132">
        <v>142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Y132*Source!I72</f>
        <v>0.0051</v>
      </c>
      <c r="CY132">
        <f>AB132</f>
        <v>65.71</v>
      </c>
      <c r="CZ132">
        <f>AF132</f>
        <v>65.71</v>
      </c>
      <c r="DA132">
        <f>AJ132</f>
        <v>1</v>
      </c>
      <c r="DB132">
        <f>ROUND((ROUND(AT132*CZ132,2)*ROUND(1.25,7)),2)</f>
        <v>27.93</v>
      </c>
      <c r="DC132">
        <f>ROUND((ROUND(AT132*AG132,2)*ROUND(1.25,7)),2)</f>
        <v>4.93</v>
      </c>
    </row>
    <row r="133" spans="1:107" ht="12.75">
      <c r="A133">
        <f>ROW(Source!A72)</f>
        <v>72</v>
      </c>
      <c r="B133">
        <v>55656218</v>
      </c>
      <c r="C133">
        <v>55658732</v>
      </c>
      <c r="D133">
        <v>53659482</v>
      </c>
      <c r="E133">
        <v>1</v>
      </c>
      <c r="F133">
        <v>1</v>
      </c>
      <c r="G133">
        <v>1</v>
      </c>
      <c r="H133">
        <v>3</v>
      </c>
      <c r="I133" t="s">
        <v>107</v>
      </c>
      <c r="J133" t="s">
        <v>110</v>
      </c>
      <c r="K133" t="s">
        <v>108</v>
      </c>
      <c r="L133">
        <v>1371</v>
      </c>
      <c r="N133">
        <v>1013</v>
      </c>
      <c r="O133" t="s">
        <v>109</v>
      </c>
      <c r="P133" t="s">
        <v>109</v>
      </c>
      <c r="Q133">
        <v>1</v>
      </c>
      <c r="W133">
        <v>0</v>
      </c>
      <c r="X133">
        <v>1897660979</v>
      </c>
      <c r="Y133">
        <v>0.01</v>
      </c>
      <c r="AA133">
        <v>346</v>
      </c>
      <c r="AB133">
        <v>0</v>
      </c>
      <c r="AC133">
        <v>0</v>
      </c>
      <c r="AD133">
        <v>0</v>
      </c>
      <c r="AE133">
        <v>346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0.01</v>
      </c>
      <c r="AV133">
        <v>0</v>
      </c>
      <c r="AW133">
        <v>2</v>
      </c>
      <c r="AX133">
        <v>55658737</v>
      </c>
      <c r="AY133">
        <v>1</v>
      </c>
      <c r="AZ133">
        <v>0</v>
      </c>
      <c r="BA133">
        <v>143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Y133*Source!I72</f>
        <v>0.00012</v>
      </c>
      <c r="CY133">
        <f>AA133</f>
        <v>346</v>
      </c>
      <c r="CZ133">
        <f>AE133</f>
        <v>346</v>
      </c>
      <c r="DA133">
        <f>AI133</f>
        <v>1</v>
      </c>
      <c r="DB133">
        <f>ROUND(ROUND(AT133*CZ133,2),2)</f>
        <v>3.46</v>
      </c>
      <c r="DC133">
        <f>ROUND(ROUND(AT133*AG133,2),2)</f>
        <v>0</v>
      </c>
    </row>
    <row r="134" spans="1:107" ht="12.75">
      <c r="A134">
        <f>ROW(Source!A72)</f>
        <v>72</v>
      </c>
      <c r="B134">
        <v>55656218</v>
      </c>
      <c r="C134">
        <v>55658732</v>
      </c>
      <c r="D134">
        <v>53662892</v>
      </c>
      <c r="E134">
        <v>1</v>
      </c>
      <c r="F134">
        <v>1</v>
      </c>
      <c r="G134">
        <v>1</v>
      </c>
      <c r="H134">
        <v>3</v>
      </c>
      <c r="I134" t="s">
        <v>112</v>
      </c>
      <c r="J134" t="s">
        <v>114</v>
      </c>
      <c r="K134" t="s">
        <v>113</v>
      </c>
      <c r="L134">
        <v>1348</v>
      </c>
      <c r="N134">
        <v>1009</v>
      </c>
      <c r="O134" t="s">
        <v>41</v>
      </c>
      <c r="P134" t="s">
        <v>41</v>
      </c>
      <c r="Q134">
        <v>1000</v>
      </c>
      <c r="W134">
        <v>0</v>
      </c>
      <c r="X134">
        <v>-1788787296</v>
      </c>
      <c r="Y134">
        <v>1</v>
      </c>
      <c r="AA134">
        <v>10100</v>
      </c>
      <c r="AB134">
        <v>0</v>
      </c>
      <c r="AC134">
        <v>0</v>
      </c>
      <c r="AD134">
        <v>0</v>
      </c>
      <c r="AE134">
        <v>10100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1</v>
      </c>
      <c r="AV134">
        <v>0</v>
      </c>
      <c r="AW134">
        <v>2</v>
      </c>
      <c r="AX134">
        <v>55658738</v>
      </c>
      <c r="AY134">
        <v>1</v>
      </c>
      <c r="AZ134">
        <v>0</v>
      </c>
      <c r="BA134">
        <v>144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Y134*Source!I72</f>
        <v>0.012</v>
      </c>
      <c r="CY134">
        <f>AA134</f>
        <v>10100</v>
      </c>
      <c r="CZ134">
        <f>AE134</f>
        <v>10100</v>
      </c>
      <c r="DA134">
        <f>AI134</f>
        <v>1</v>
      </c>
      <c r="DB134">
        <f>ROUND(ROUND(AT134*CZ134,2),2)</f>
        <v>10100</v>
      </c>
      <c r="DC134">
        <f>ROUND(ROUND(AT134*AG134,2),2)</f>
        <v>0</v>
      </c>
    </row>
    <row r="135" spans="1:107" ht="12.75">
      <c r="A135">
        <f>ROW(Source!A73)</f>
        <v>73</v>
      </c>
      <c r="B135">
        <v>55657272</v>
      </c>
      <c r="C135">
        <v>55658732</v>
      </c>
      <c r="D135">
        <v>53630073</v>
      </c>
      <c r="E135">
        <v>70</v>
      </c>
      <c r="F135">
        <v>1</v>
      </c>
      <c r="G135">
        <v>1</v>
      </c>
      <c r="H135">
        <v>1</v>
      </c>
      <c r="I135" t="s">
        <v>385</v>
      </c>
      <c r="K135" t="s">
        <v>386</v>
      </c>
      <c r="L135">
        <v>1191</v>
      </c>
      <c r="N135">
        <v>1013</v>
      </c>
      <c r="O135" t="s">
        <v>358</v>
      </c>
      <c r="P135" t="s">
        <v>358</v>
      </c>
      <c r="Q135">
        <v>1</v>
      </c>
      <c r="W135">
        <v>0</v>
      </c>
      <c r="X135">
        <v>-1759674247</v>
      </c>
      <c r="Y135">
        <v>332.34999999999997</v>
      </c>
      <c r="AA135">
        <v>0</v>
      </c>
      <c r="AB135">
        <v>0</v>
      </c>
      <c r="AC135">
        <v>0</v>
      </c>
      <c r="AD135">
        <v>330.83</v>
      </c>
      <c r="AE135">
        <v>0</v>
      </c>
      <c r="AF135">
        <v>0</v>
      </c>
      <c r="AG135">
        <v>0</v>
      </c>
      <c r="AH135">
        <v>8.86</v>
      </c>
      <c r="AI135">
        <v>1</v>
      </c>
      <c r="AJ135">
        <v>1</v>
      </c>
      <c r="AK135">
        <v>1</v>
      </c>
      <c r="AL135">
        <v>37.34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289</v>
      </c>
      <c r="AU135" t="s">
        <v>118</v>
      </c>
      <c r="AV135">
        <v>1</v>
      </c>
      <c r="AW135">
        <v>2</v>
      </c>
      <c r="AX135">
        <v>55658733</v>
      </c>
      <c r="AY135">
        <v>1</v>
      </c>
      <c r="AZ135">
        <v>0</v>
      </c>
      <c r="BA135">
        <v>145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Y135*Source!I73</f>
        <v>3.9881999999999995</v>
      </c>
      <c r="CY135">
        <f>AD135</f>
        <v>330.83</v>
      </c>
      <c r="CZ135">
        <f>AH135</f>
        <v>8.86</v>
      </c>
      <c r="DA135">
        <f>AL135</f>
        <v>37.34</v>
      </c>
      <c r="DB135">
        <f>ROUND((ROUND(AT135*CZ135,2)*ROUND(1.15,7)),2)</f>
        <v>2944.62</v>
      </c>
      <c r="DC135">
        <f>ROUND((ROUND(AT135*AG135,2)*ROUND(1.15,7)),2)</f>
        <v>0</v>
      </c>
    </row>
    <row r="136" spans="1:107" ht="12.75">
      <c r="A136">
        <f>ROW(Source!A73)</f>
        <v>73</v>
      </c>
      <c r="B136">
        <v>55657272</v>
      </c>
      <c r="C136">
        <v>55658732</v>
      </c>
      <c r="D136">
        <v>53630257</v>
      </c>
      <c r="E136">
        <v>70</v>
      </c>
      <c r="F136">
        <v>1</v>
      </c>
      <c r="G136">
        <v>1</v>
      </c>
      <c r="H136">
        <v>1</v>
      </c>
      <c r="I136" t="s">
        <v>359</v>
      </c>
      <c r="K136" t="s">
        <v>360</v>
      </c>
      <c r="L136">
        <v>1191</v>
      </c>
      <c r="N136">
        <v>1013</v>
      </c>
      <c r="O136" t="s">
        <v>358</v>
      </c>
      <c r="P136" t="s">
        <v>358</v>
      </c>
      <c r="Q136">
        <v>1</v>
      </c>
      <c r="W136">
        <v>0</v>
      </c>
      <c r="X136">
        <v>-1417349443</v>
      </c>
      <c r="Y136">
        <v>0.7374999999999999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37.34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0.59</v>
      </c>
      <c r="AU136" t="s">
        <v>117</v>
      </c>
      <c r="AV136">
        <v>2</v>
      </c>
      <c r="AW136">
        <v>2</v>
      </c>
      <c r="AX136">
        <v>55658734</v>
      </c>
      <c r="AY136">
        <v>1</v>
      </c>
      <c r="AZ136">
        <v>0</v>
      </c>
      <c r="BA136">
        <v>146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Y136*Source!I73</f>
        <v>0.00885</v>
      </c>
      <c r="CY136">
        <f>AD136</f>
        <v>0</v>
      </c>
      <c r="CZ136">
        <f>AH136</f>
        <v>0</v>
      </c>
      <c r="DA136">
        <f>AL136</f>
        <v>1</v>
      </c>
      <c r="DB136">
        <f>ROUND((ROUND(AT136*CZ136,2)*ROUND(1.25,7)),2)</f>
        <v>0</v>
      </c>
      <c r="DC136">
        <f>ROUND((ROUND(AT136*AG136,2)*ROUND(1.25,7)),2)</f>
        <v>0</v>
      </c>
    </row>
    <row r="137" spans="1:107" ht="12.75">
      <c r="A137">
        <f>ROW(Source!A73)</f>
        <v>73</v>
      </c>
      <c r="B137">
        <v>55657272</v>
      </c>
      <c r="C137">
        <v>55658732</v>
      </c>
      <c r="D137">
        <v>53791997</v>
      </c>
      <c r="E137">
        <v>1</v>
      </c>
      <c r="F137">
        <v>1</v>
      </c>
      <c r="G137">
        <v>1</v>
      </c>
      <c r="H137">
        <v>2</v>
      </c>
      <c r="I137" t="s">
        <v>361</v>
      </c>
      <c r="J137" t="s">
        <v>362</v>
      </c>
      <c r="K137" t="s">
        <v>363</v>
      </c>
      <c r="L137">
        <v>1367</v>
      </c>
      <c r="N137">
        <v>1011</v>
      </c>
      <c r="O137" t="s">
        <v>364</v>
      </c>
      <c r="P137" t="s">
        <v>364</v>
      </c>
      <c r="Q137">
        <v>1</v>
      </c>
      <c r="W137">
        <v>0</v>
      </c>
      <c r="X137">
        <v>-430484415</v>
      </c>
      <c r="Y137">
        <v>0.3125</v>
      </c>
      <c r="AA137">
        <v>0</v>
      </c>
      <c r="AB137">
        <v>1527.9</v>
      </c>
      <c r="AC137">
        <v>504.09</v>
      </c>
      <c r="AD137">
        <v>0</v>
      </c>
      <c r="AE137">
        <v>0</v>
      </c>
      <c r="AF137">
        <v>115.4</v>
      </c>
      <c r="AG137">
        <v>13.5</v>
      </c>
      <c r="AH137">
        <v>0</v>
      </c>
      <c r="AI137">
        <v>1</v>
      </c>
      <c r="AJ137">
        <v>13.24</v>
      </c>
      <c r="AK137">
        <v>37.34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0.25</v>
      </c>
      <c r="AU137" t="s">
        <v>117</v>
      </c>
      <c r="AV137">
        <v>0</v>
      </c>
      <c r="AW137">
        <v>2</v>
      </c>
      <c r="AX137">
        <v>55658735</v>
      </c>
      <c r="AY137">
        <v>1</v>
      </c>
      <c r="AZ137">
        <v>0</v>
      </c>
      <c r="BA137">
        <v>147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Y137*Source!I73</f>
        <v>0.00375</v>
      </c>
      <c r="CY137">
        <f>AB137</f>
        <v>1527.9</v>
      </c>
      <c r="CZ137">
        <f>AF137</f>
        <v>115.4</v>
      </c>
      <c r="DA137">
        <f>AJ137</f>
        <v>13.24</v>
      </c>
      <c r="DB137">
        <f>ROUND((ROUND(AT137*CZ137,2)*ROUND(1.25,7)),2)</f>
        <v>36.06</v>
      </c>
      <c r="DC137">
        <f>ROUND((ROUND(AT137*AG137,2)*ROUND(1.25,7)),2)</f>
        <v>4.23</v>
      </c>
    </row>
    <row r="138" spans="1:107" ht="12.75">
      <c r="A138">
        <f>ROW(Source!A73)</f>
        <v>73</v>
      </c>
      <c r="B138">
        <v>55657272</v>
      </c>
      <c r="C138">
        <v>55658732</v>
      </c>
      <c r="D138">
        <v>53792927</v>
      </c>
      <c r="E138">
        <v>1</v>
      </c>
      <c r="F138">
        <v>1</v>
      </c>
      <c r="G138">
        <v>1</v>
      </c>
      <c r="H138">
        <v>2</v>
      </c>
      <c r="I138" t="s">
        <v>368</v>
      </c>
      <c r="J138" t="s">
        <v>369</v>
      </c>
      <c r="K138" t="s">
        <v>370</v>
      </c>
      <c r="L138">
        <v>1367</v>
      </c>
      <c r="N138">
        <v>1011</v>
      </c>
      <c r="O138" t="s">
        <v>364</v>
      </c>
      <c r="P138" t="s">
        <v>364</v>
      </c>
      <c r="Q138">
        <v>1</v>
      </c>
      <c r="W138">
        <v>0</v>
      </c>
      <c r="X138">
        <v>509054691</v>
      </c>
      <c r="Y138">
        <v>0.42500000000000004</v>
      </c>
      <c r="AA138">
        <v>0</v>
      </c>
      <c r="AB138">
        <v>870</v>
      </c>
      <c r="AC138">
        <v>433.14</v>
      </c>
      <c r="AD138">
        <v>0</v>
      </c>
      <c r="AE138">
        <v>0</v>
      </c>
      <c r="AF138">
        <v>65.71</v>
      </c>
      <c r="AG138">
        <v>11.6</v>
      </c>
      <c r="AH138">
        <v>0</v>
      </c>
      <c r="AI138">
        <v>1</v>
      </c>
      <c r="AJ138">
        <v>13.24</v>
      </c>
      <c r="AK138">
        <v>37.34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0.34</v>
      </c>
      <c r="AU138" t="s">
        <v>117</v>
      </c>
      <c r="AV138">
        <v>0</v>
      </c>
      <c r="AW138">
        <v>2</v>
      </c>
      <c r="AX138">
        <v>55658736</v>
      </c>
      <c r="AY138">
        <v>1</v>
      </c>
      <c r="AZ138">
        <v>0</v>
      </c>
      <c r="BA138">
        <v>148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Y138*Source!I73</f>
        <v>0.0051</v>
      </c>
      <c r="CY138">
        <f>AB138</f>
        <v>870</v>
      </c>
      <c r="CZ138">
        <f>AF138</f>
        <v>65.71</v>
      </c>
      <c r="DA138">
        <f>AJ138</f>
        <v>13.24</v>
      </c>
      <c r="DB138">
        <f>ROUND((ROUND(AT138*CZ138,2)*ROUND(1.25,7)),2)</f>
        <v>27.93</v>
      </c>
      <c r="DC138">
        <f>ROUND((ROUND(AT138*AG138,2)*ROUND(1.25,7)),2)</f>
        <v>4.93</v>
      </c>
    </row>
    <row r="139" spans="1:107" ht="12.75">
      <c r="A139">
        <f>ROW(Source!A73)</f>
        <v>73</v>
      </c>
      <c r="B139">
        <v>55657272</v>
      </c>
      <c r="C139">
        <v>55658732</v>
      </c>
      <c r="D139">
        <v>53659482</v>
      </c>
      <c r="E139">
        <v>1</v>
      </c>
      <c r="F139">
        <v>1</v>
      </c>
      <c r="G139">
        <v>1</v>
      </c>
      <c r="H139">
        <v>3</v>
      </c>
      <c r="I139" t="s">
        <v>107</v>
      </c>
      <c r="J139" t="s">
        <v>110</v>
      </c>
      <c r="K139" t="s">
        <v>108</v>
      </c>
      <c r="L139">
        <v>1371</v>
      </c>
      <c r="N139">
        <v>1013</v>
      </c>
      <c r="O139" t="s">
        <v>109</v>
      </c>
      <c r="P139" t="s">
        <v>109</v>
      </c>
      <c r="Q139">
        <v>1</v>
      </c>
      <c r="W139">
        <v>0</v>
      </c>
      <c r="X139">
        <v>1897660979</v>
      </c>
      <c r="Y139">
        <v>0.01</v>
      </c>
      <c r="AA139">
        <v>2325.12</v>
      </c>
      <c r="AB139">
        <v>0</v>
      </c>
      <c r="AC139">
        <v>0</v>
      </c>
      <c r="AD139">
        <v>0</v>
      </c>
      <c r="AE139">
        <v>346</v>
      </c>
      <c r="AF139">
        <v>0</v>
      </c>
      <c r="AG139">
        <v>0</v>
      </c>
      <c r="AH139">
        <v>0</v>
      </c>
      <c r="AI139">
        <v>6.72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0.01</v>
      </c>
      <c r="AV139">
        <v>0</v>
      </c>
      <c r="AW139">
        <v>2</v>
      </c>
      <c r="AX139">
        <v>55658737</v>
      </c>
      <c r="AY139">
        <v>1</v>
      </c>
      <c r="AZ139">
        <v>0</v>
      </c>
      <c r="BA139">
        <v>149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Y139*Source!I73</f>
        <v>0.00012</v>
      </c>
      <c r="CY139">
        <f>AA139</f>
        <v>2325.12</v>
      </c>
      <c r="CZ139">
        <f>AE139</f>
        <v>346</v>
      </c>
      <c r="DA139">
        <f>AI139</f>
        <v>6.72</v>
      </c>
      <c r="DB139">
        <f>ROUND(ROUND(AT139*CZ139,2),2)</f>
        <v>3.46</v>
      </c>
      <c r="DC139">
        <f>ROUND(ROUND(AT139*AG139,2),2)</f>
        <v>0</v>
      </c>
    </row>
    <row r="140" spans="1:107" ht="12.75">
      <c r="A140">
        <f>ROW(Source!A73)</f>
        <v>73</v>
      </c>
      <c r="B140">
        <v>55657272</v>
      </c>
      <c r="C140">
        <v>55658732</v>
      </c>
      <c r="D140">
        <v>53662892</v>
      </c>
      <c r="E140">
        <v>1</v>
      </c>
      <c r="F140">
        <v>1</v>
      </c>
      <c r="G140">
        <v>1</v>
      </c>
      <c r="H140">
        <v>3</v>
      </c>
      <c r="I140" t="s">
        <v>112</v>
      </c>
      <c r="J140" t="s">
        <v>114</v>
      </c>
      <c r="K140" t="s">
        <v>113</v>
      </c>
      <c r="L140">
        <v>1348</v>
      </c>
      <c r="N140">
        <v>1009</v>
      </c>
      <c r="O140" t="s">
        <v>41</v>
      </c>
      <c r="P140" t="s">
        <v>41</v>
      </c>
      <c r="Q140">
        <v>1000</v>
      </c>
      <c r="W140">
        <v>0</v>
      </c>
      <c r="X140">
        <v>-1788787296</v>
      </c>
      <c r="Y140">
        <v>1</v>
      </c>
      <c r="AA140">
        <v>67872</v>
      </c>
      <c r="AB140">
        <v>0</v>
      </c>
      <c r="AC140">
        <v>0</v>
      </c>
      <c r="AD140">
        <v>0</v>
      </c>
      <c r="AE140">
        <v>10100</v>
      </c>
      <c r="AF140">
        <v>0</v>
      </c>
      <c r="AG140">
        <v>0</v>
      </c>
      <c r="AH140">
        <v>0</v>
      </c>
      <c r="AI140">
        <v>6.72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1</v>
      </c>
      <c r="AV140">
        <v>0</v>
      </c>
      <c r="AW140">
        <v>2</v>
      </c>
      <c r="AX140">
        <v>55658738</v>
      </c>
      <c r="AY140">
        <v>1</v>
      </c>
      <c r="AZ140">
        <v>0</v>
      </c>
      <c r="BA140">
        <v>150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Y140*Source!I73</f>
        <v>0.012</v>
      </c>
      <c r="CY140">
        <f>AA140</f>
        <v>67872</v>
      </c>
      <c r="CZ140">
        <f>AE140</f>
        <v>10100</v>
      </c>
      <c r="DA140">
        <f>AI140</f>
        <v>6.72</v>
      </c>
      <c r="DB140">
        <f>ROUND(ROUND(AT140*CZ140,2),2)</f>
        <v>10100</v>
      </c>
      <c r="DC140">
        <f>ROUND(ROUND(AT140*AG140,2),2)</f>
        <v>0</v>
      </c>
    </row>
    <row r="141" spans="1:107" ht="12.75">
      <c r="A141">
        <f>ROW(Source!A74)</f>
        <v>74</v>
      </c>
      <c r="B141">
        <v>55656218</v>
      </c>
      <c r="C141">
        <v>55657460</v>
      </c>
      <c r="D141">
        <v>53630123</v>
      </c>
      <c r="E141">
        <v>70</v>
      </c>
      <c r="F141">
        <v>1</v>
      </c>
      <c r="G141">
        <v>1</v>
      </c>
      <c r="H141">
        <v>1</v>
      </c>
      <c r="I141" t="s">
        <v>356</v>
      </c>
      <c r="K141" t="s">
        <v>357</v>
      </c>
      <c r="L141">
        <v>1191</v>
      </c>
      <c r="N141">
        <v>1013</v>
      </c>
      <c r="O141" t="s">
        <v>358</v>
      </c>
      <c r="P141" t="s">
        <v>358</v>
      </c>
      <c r="Q141">
        <v>1</v>
      </c>
      <c r="W141">
        <v>0</v>
      </c>
      <c r="X141">
        <v>-1841613679</v>
      </c>
      <c r="Y141">
        <v>342.7</v>
      </c>
      <c r="AA141">
        <v>0</v>
      </c>
      <c r="AB141">
        <v>0</v>
      </c>
      <c r="AC141">
        <v>0</v>
      </c>
      <c r="AD141">
        <v>10.06</v>
      </c>
      <c r="AE141">
        <v>0</v>
      </c>
      <c r="AF141">
        <v>0</v>
      </c>
      <c r="AG141">
        <v>0</v>
      </c>
      <c r="AH141">
        <v>10.06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298</v>
      </c>
      <c r="AU141" t="s">
        <v>118</v>
      </c>
      <c r="AV141">
        <v>1</v>
      </c>
      <c r="AW141">
        <v>2</v>
      </c>
      <c r="AX141">
        <v>55657461</v>
      </c>
      <c r="AY141">
        <v>1</v>
      </c>
      <c r="AZ141">
        <v>0</v>
      </c>
      <c r="BA141">
        <v>151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Y141*Source!I74</f>
        <v>143.934</v>
      </c>
      <c r="CY141">
        <f>AD141</f>
        <v>10.06</v>
      </c>
      <c r="CZ141">
        <f>AH141</f>
        <v>10.06</v>
      </c>
      <c r="DA141">
        <f>AL141</f>
        <v>1</v>
      </c>
      <c r="DB141">
        <f>ROUND((ROUND(AT141*CZ141,2)*ROUND(1.15,7)),2)</f>
        <v>3447.56</v>
      </c>
      <c r="DC141">
        <f>ROUND((ROUND(AT141*AG141,2)*ROUND(1.15,7)),2)</f>
        <v>0</v>
      </c>
    </row>
    <row r="142" spans="1:107" ht="12.75">
      <c r="A142">
        <f>ROW(Source!A74)</f>
        <v>74</v>
      </c>
      <c r="B142">
        <v>55656218</v>
      </c>
      <c r="C142">
        <v>55657460</v>
      </c>
      <c r="D142">
        <v>53630257</v>
      </c>
      <c r="E142">
        <v>70</v>
      </c>
      <c r="F142">
        <v>1</v>
      </c>
      <c r="G142">
        <v>1</v>
      </c>
      <c r="H142">
        <v>1</v>
      </c>
      <c r="I142" t="s">
        <v>359</v>
      </c>
      <c r="K142" t="s">
        <v>360</v>
      </c>
      <c r="L142">
        <v>1191</v>
      </c>
      <c r="N142">
        <v>1013</v>
      </c>
      <c r="O142" t="s">
        <v>358</v>
      </c>
      <c r="P142" t="s">
        <v>358</v>
      </c>
      <c r="Q142">
        <v>1</v>
      </c>
      <c r="W142">
        <v>0</v>
      </c>
      <c r="X142">
        <v>-1417349443</v>
      </c>
      <c r="Y142">
        <v>3.1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2.48</v>
      </c>
      <c r="AU142" t="s">
        <v>117</v>
      </c>
      <c r="AV142">
        <v>2</v>
      </c>
      <c r="AW142">
        <v>2</v>
      </c>
      <c r="AX142">
        <v>55657462</v>
      </c>
      <c r="AY142">
        <v>1</v>
      </c>
      <c r="AZ142">
        <v>0</v>
      </c>
      <c r="BA142">
        <v>152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Y142*Source!I74</f>
        <v>1.302</v>
      </c>
      <c r="CY142">
        <f>AD142</f>
        <v>0</v>
      </c>
      <c r="CZ142">
        <f>AH142</f>
        <v>0</v>
      </c>
      <c r="DA142">
        <f>AL142</f>
        <v>1</v>
      </c>
      <c r="DB142">
        <f>ROUND((ROUND(AT142*CZ142,2)*ROUND(1.25,7)),2)</f>
        <v>0</v>
      </c>
      <c r="DC142">
        <f>ROUND((ROUND(AT142*AG142,2)*ROUND(1.25,7)),2)</f>
        <v>0</v>
      </c>
    </row>
    <row r="143" spans="1:107" ht="12.75">
      <c r="A143">
        <f>ROW(Source!A74)</f>
        <v>74</v>
      </c>
      <c r="B143">
        <v>55656218</v>
      </c>
      <c r="C143">
        <v>55657460</v>
      </c>
      <c r="D143">
        <v>53791997</v>
      </c>
      <c r="E143">
        <v>1</v>
      </c>
      <c r="F143">
        <v>1</v>
      </c>
      <c r="G143">
        <v>1</v>
      </c>
      <c r="H143">
        <v>2</v>
      </c>
      <c r="I143" t="s">
        <v>361</v>
      </c>
      <c r="J143" t="s">
        <v>362</v>
      </c>
      <c r="K143" t="s">
        <v>363</v>
      </c>
      <c r="L143">
        <v>1367</v>
      </c>
      <c r="N143">
        <v>1011</v>
      </c>
      <c r="O143" t="s">
        <v>364</v>
      </c>
      <c r="P143" t="s">
        <v>364</v>
      </c>
      <c r="Q143">
        <v>1</v>
      </c>
      <c r="W143">
        <v>0</v>
      </c>
      <c r="X143">
        <v>-430484415</v>
      </c>
      <c r="Y143">
        <v>2.75</v>
      </c>
      <c r="AA143">
        <v>0</v>
      </c>
      <c r="AB143">
        <v>115.4</v>
      </c>
      <c r="AC143">
        <v>13.5</v>
      </c>
      <c r="AD143">
        <v>0</v>
      </c>
      <c r="AE143">
        <v>0</v>
      </c>
      <c r="AF143">
        <v>115.4</v>
      </c>
      <c r="AG143">
        <v>13.5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2.2</v>
      </c>
      <c r="AU143" t="s">
        <v>117</v>
      </c>
      <c r="AV143">
        <v>0</v>
      </c>
      <c r="AW143">
        <v>2</v>
      </c>
      <c r="AX143">
        <v>55657463</v>
      </c>
      <c r="AY143">
        <v>1</v>
      </c>
      <c r="AZ143">
        <v>0</v>
      </c>
      <c r="BA143">
        <v>153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Y143*Source!I74</f>
        <v>1.155</v>
      </c>
      <c r="CY143">
        <f>AB143</f>
        <v>115.4</v>
      </c>
      <c r="CZ143">
        <f>AF143</f>
        <v>115.4</v>
      </c>
      <c r="DA143">
        <f>AJ143</f>
        <v>1</v>
      </c>
      <c r="DB143">
        <f>ROUND((ROUND(AT143*CZ143,2)*ROUND(1.25,7)),2)</f>
        <v>317.35</v>
      </c>
      <c r="DC143">
        <f>ROUND((ROUND(AT143*AG143,2)*ROUND(1.25,7)),2)</f>
        <v>37.13</v>
      </c>
    </row>
    <row r="144" spans="1:107" ht="12.75">
      <c r="A144">
        <f>ROW(Source!A74)</f>
        <v>74</v>
      </c>
      <c r="B144">
        <v>55656218</v>
      </c>
      <c r="C144">
        <v>55657460</v>
      </c>
      <c r="D144">
        <v>53792134</v>
      </c>
      <c r="E144">
        <v>1</v>
      </c>
      <c r="F144">
        <v>1</v>
      </c>
      <c r="G144">
        <v>1</v>
      </c>
      <c r="H144">
        <v>2</v>
      </c>
      <c r="I144" t="s">
        <v>365</v>
      </c>
      <c r="J144" t="s">
        <v>366</v>
      </c>
      <c r="K144" t="s">
        <v>367</v>
      </c>
      <c r="L144">
        <v>1367</v>
      </c>
      <c r="N144">
        <v>1011</v>
      </c>
      <c r="O144" t="s">
        <v>364</v>
      </c>
      <c r="P144" t="s">
        <v>364</v>
      </c>
      <c r="Q144">
        <v>1</v>
      </c>
      <c r="W144">
        <v>0</v>
      </c>
      <c r="X144">
        <v>-382331097</v>
      </c>
      <c r="Y144">
        <v>54.875</v>
      </c>
      <c r="AA144">
        <v>0</v>
      </c>
      <c r="AB144">
        <v>6.9</v>
      </c>
      <c r="AC144">
        <v>0</v>
      </c>
      <c r="AD144">
        <v>0</v>
      </c>
      <c r="AE144">
        <v>0</v>
      </c>
      <c r="AF144">
        <v>6.9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43.9</v>
      </c>
      <c r="AU144" t="s">
        <v>117</v>
      </c>
      <c r="AV144">
        <v>0</v>
      </c>
      <c r="AW144">
        <v>2</v>
      </c>
      <c r="AX144">
        <v>55657464</v>
      </c>
      <c r="AY144">
        <v>1</v>
      </c>
      <c r="AZ144">
        <v>0</v>
      </c>
      <c r="BA144">
        <v>154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Y144*Source!I74</f>
        <v>23.0475</v>
      </c>
      <c r="CY144">
        <f>AB144</f>
        <v>6.9</v>
      </c>
      <c r="CZ144">
        <f>AF144</f>
        <v>6.9</v>
      </c>
      <c r="DA144">
        <f>AJ144</f>
        <v>1</v>
      </c>
      <c r="DB144">
        <f>ROUND((ROUND(AT144*CZ144,2)*ROUND(1.25,7)),2)</f>
        <v>378.64</v>
      </c>
      <c r="DC144">
        <f>ROUND((ROUND(AT144*AG144,2)*ROUND(1.25,7)),2)</f>
        <v>0</v>
      </c>
    </row>
    <row r="145" spans="1:107" ht="12.75">
      <c r="A145">
        <f>ROW(Source!A74)</f>
        <v>74</v>
      </c>
      <c r="B145">
        <v>55656218</v>
      </c>
      <c r="C145">
        <v>55657460</v>
      </c>
      <c r="D145">
        <v>53792927</v>
      </c>
      <c r="E145">
        <v>1</v>
      </c>
      <c r="F145">
        <v>1</v>
      </c>
      <c r="G145">
        <v>1</v>
      </c>
      <c r="H145">
        <v>2</v>
      </c>
      <c r="I145" t="s">
        <v>368</v>
      </c>
      <c r="J145" t="s">
        <v>369</v>
      </c>
      <c r="K145" t="s">
        <v>370</v>
      </c>
      <c r="L145">
        <v>1367</v>
      </c>
      <c r="N145">
        <v>1011</v>
      </c>
      <c r="O145" t="s">
        <v>364</v>
      </c>
      <c r="P145" t="s">
        <v>364</v>
      </c>
      <c r="Q145">
        <v>1</v>
      </c>
      <c r="W145">
        <v>0</v>
      </c>
      <c r="X145">
        <v>509054691</v>
      </c>
      <c r="Y145">
        <v>0.35000000000000003</v>
      </c>
      <c r="AA145">
        <v>0</v>
      </c>
      <c r="AB145">
        <v>65.71</v>
      </c>
      <c r="AC145">
        <v>11.6</v>
      </c>
      <c r="AD145">
        <v>0</v>
      </c>
      <c r="AE145">
        <v>0</v>
      </c>
      <c r="AF145">
        <v>65.71</v>
      </c>
      <c r="AG145">
        <v>11.6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0.28</v>
      </c>
      <c r="AU145" t="s">
        <v>117</v>
      </c>
      <c r="AV145">
        <v>0</v>
      </c>
      <c r="AW145">
        <v>2</v>
      </c>
      <c r="AX145">
        <v>55657465</v>
      </c>
      <c r="AY145">
        <v>1</v>
      </c>
      <c r="AZ145">
        <v>0</v>
      </c>
      <c r="BA145">
        <v>155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Y145*Source!I74</f>
        <v>0.14700000000000002</v>
      </c>
      <c r="CY145">
        <f>AB145</f>
        <v>65.71</v>
      </c>
      <c r="CZ145">
        <f>AF145</f>
        <v>65.71</v>
      </c>
      <c r="DA145">
        <f>AJ145</f>
        <v>1</v>
      </c>
      <c r="DB145">
        <f>ROUND((ROUND(AT145*CZ145,2)*ROUND(1.25,7)),2)</f>
        <v>23</v>
      </c>
      <c r="DC145">
        <f>ROUND((ROUND(AT145*AG145,2)*ROUND(1.25,7)),2)</f>
        <v>4.06</v>
      </c>
    </row>
    <row r="146" spans="1:107" ht="12.75">
      <c r="A146">
        <f>ROW(Source!A74)</f>
        <v>74</v>
      </c>
      <c r="B146">
        <v>55656218</v>
      </c>
      <c r="C146">
        <v>55657460</v>
      </c>
      <c r="D146">
        <v>53646035</v>
      </c>
      <c r="E146">
        <v>1</v>
      </c>
      <c r="F146">
        <v>1</v>
      </c>
      <c r="G146">
        <v>1</v>
      </c>
      <c r="H146">
        <v>3</v>
      </c>
      <c r="I146" t="s">
        <v>66</v>
      </c>
      <c r="J146" t="s">
        <v>68</v>
      </c>
      <c r="K146" t="s">
        <v>67</v>
      </c>
      <c r="L146">
        <v>1348</v>
      </c>
      <c r="N146">
        <v>1009</v>
      </c>
      <c r="O146" t="s">
        <v>41</v>
      </c>
      <c r="P146" t="s">
        <v>41</v>
      </c>
      <c r="Q146">
        <v>1000</v>
      </c>
      <c r="W146">
        <v>0</v>
      </c>
      <c r="X146">
        <v>-1671348935</v>
      </c>
      <c r="Y146">
        <v>0.00115</v>
      </c>
      <c r="AA146">
        <v>37900</v>
      </c>
      <c r="AB146">
        <v>0</v>
      </c>
      <c r="AC146">
        <v>0</v>
      </c>
      <c r="AD146">
        <v>0</v>
      </c>
      <c r="AE146">
        <v>37900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0.00115</v>
      </c>
      <c r="AV146">
        <v>0</v>
      </c>
      <c r="AW146">
        <v>2</v>
      </c>
      <c r="AX146">
        <v>55657467</v>
      </c>
      <c r="AY146">
        <v>1</v>
      </c>
      <c r="AZ146">
        <v>0</v>
      </c>
      <c r="BA146">
        <v>157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Y146*Source!I74</f>
        <v>0.000483</v>
      </c>
      <c r="CY146">
        <f aca="true" t="shared" si="40" ref="CY146:CY151">AA146</f>
        <v>37900</v>
      </c>
      <c r="CZ146">
        <f aca="true" t="shared" si="41" ref="CZ146:CZ151">AE146</f>
        <v>37900</v>
      </c>
      <c r="DA146">
        <f aca="true" t="shared" si="42" ref="DA146:DA151">AI146</f>
        <v>1</v>
      </c>
      <c r="DB146">
        <f aca="true" t="shared" si="43" ref="DB146:DB151">ROUND(ROUND(AT146*CZ146,2),2)</f>
        <v>43.59</v>
      </c>
      <c r="DC146">
        <f aca="true" t="shared" si="44" ref="DC146:DC151">ROUND(ROUND(AT146*AG146,2),2)</f>
        <v>0</v>
      </c>
    </row>
    <row r="147" spans="1:107" ht="12.75">
      <c r="A147">
        <f>ROW(Source!A74)</f>
        <v>74</v>
      </c>
      <c r="B147">
        <v>55656218</v>
      </c>
      <c r="C147">
        <v>55657460</v>
      </c>
      <c r="D147">
        <v>53659617</v>
      </c>
      <c r="E147">
        <v>1</v>
      </c>
      <c r="F147">
        <v>1</v>
      </c>
      <c r="G147">
        <v>1</v>
      </c>
      <c r="H147">
        <v>3</v>
      </c>
      <c r="I147" t="s">
        <v>70</v>
      </c>
      <c r="J147" t="s">
        <v>72</v>
      </c>
      <c r="K147" t="s">
        <v>71</v>
      </c>
      <c r="L147">
        <v>1348</v>
      </c>
      <c r="N147">
        <v>1009</v>
      </c>
      <c r="O147" t="s">
        <v>41</v>
      </c>
      <c r="P147" t="s">
        <v>41</v>
      </c>
      <c r="Q147">
        <v>1000</v>
      </c>
      <c r="W147">
        <v>0</v>
      </c>
      <c r="X147">
        <v>-1915778085</v>
      </c>
      <c r="Y147">
        <v>0.02</v>
      </c>
      <c r="AA147">
        <v>7712</v>
      </c>
      <c r="AB147">
        <v>0</v>
      </c>
      <c r="AC147">
        <v>0</v>
      </c>
      <c r="AD147">
        <v>0</v>
      </c>
      <c r="AE147">
        <v>7712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0.02</v>
      </c>
      <c r="AV147">
        <v>0</v>
      </c>
      <c r="AW147">
        <v>2</v>
      </c>
      <c r="AX147">
        <v>55657470</v>
      </c>
      <c r="AY147">
        <v>1</v>
      </c>
      <c r="AZ147">
        <v>0</v>
      </c>
      <c r="BA147">
        <v>160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Y147*Source!I74</f>
        <v>0.0084</v>
      </c>
      <c r="CY147">
        <f t="shared" si="40"/>
        <v>7712</v>
      </c>
      <c r="CZ147">
        <f t="shared" si="41"/>
        <v>7712</v>
      </c>
      <c r="DA147">
        <f t="shared" si="42"/>
        <v>1</v>
      </c>
      <c r="DB147">
        <f t="shared" si="43"/>
        <v>154.24</v>
      </c>
      <c r="DC147">
        <f t="shared" si="44"/>
        <v>0</v>
      </c>
    </row>
    <row r="148" spans="1:107" ht="12.75">
      <c r="A148">
        <f>ROW(Source!A74)</f>
        <v>74</v>
      </c>
      <c r="B148">
        <v>55656218</v>
      </c>
      <c r="C148">
        <v>55657460</v>
      </c>
      <c r="D148">
        <v>53661716</v>
      </c>
      <c r="E148">
        <v>1</v>
      </c>
      <c r="F148">
        <v>1</v>
      </c>
      <c r="G148">
        <v>1</v>
      </c>
      <c r="H148">
        <v>3</v>
      </c>
      <c r="I148" t="s">
        <v>74</v>
      </c>
      <c r="J148" t="s">
        <v>77</v>
      </c>
      <c r="K148" t="s">
        <v>75</v>
      </c>
      <c r="L148">
        <v>1302</v>
      </c>
      <c r="N148">
        <v>1003</v>
      </c>
      <c r="O148" t="s">
        <v>76</v>
      </c>
      <c r="P148" t="s">
        <v>76</v>
      </c>
      <c r="Q148">
        <v>10</v>
      </c>
      <c r="W148">
        <v>0</v>
      </c>
      <c r="X148">
        <v>581091037</v>
      </c>
      <c r="Y148">
        <v>0.2</v>
      </c>
      <c r="AA148">
        <v>50.24</v>
      </c>
      <c r="AB148">
        <v>0</v>
      </c>
      <c r="AC148">
        <v>0</v>
      </c>
      <c r="AD148">
        <v>0</v>
      </c>
      <c r="AE148">
        <v>50.24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0.2</v>
      </c>
      <c r="AV148">
        <v>0</v>
      </c>
      <c r="AW148">
        <v>2</v>
      </c>
      <c r="AX148">
        <v>55657471</v>
      </c>
      <c r="AY148">
        <v>1</v>
      </c>
      <c r="AZ148">
        <v>0</v>
      </c>
      <c r="BA148">
        <v>161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Y148*Source!I74</f>
        <v>0.084</v>
      </c>
      <c r="CY148">
        <f t="shared" si="40"/>
        <v>50.24</v>
      </c>
      <c r="CZ148">
        <f t="shared" si="41"/>
        <v>50.24</v>
      </c>
      <c r="DA148">
        <f t="shared" si="42"/>
        <v>1</v>
      </c>
      <c r="DB148">
        <f t="shared" si="43"/>
        <v>10.05</v>
      </c>
      <c r="DC148">
        <f t="shared" si="44"/>
        <v>0</v>
      </c>
    </row>
    <row r="149" spans="1:107" ht="12.75">
      <c r="A149">
        <f>ROW(Source!A74)</f>
        <v>74</v>
      </c>
      <c r="B149">
        <v>55656218</v>
      </c>
      <c r="C149">
        <v>55657460</v>
      </c>
      <c r="D149">
        <v>53666055</v>
      </c>
      <c r="E149">
        <v>1</v>
      </c>
      <c r="F149">
        <v>1</v>
      </c>
      <c r="G149">
        <v>1</v>
      </c>
      <c r="H149">
        <v>3</v>
      </c>
      <c r="I149" t="s">
        <v>87</v>
      </c>
      <c r="J149" t="s">
        <v>89</v>
      </c>
      <c r="K149" t="s">
        <v>88</v>
      </c>
      <c r="L149">
        <v>1339</v>
      </c>
      <c r="N149">
        <v>1007</v>
      </c>
      <c r="O149" t="s">
        <v>46</v>
      </c>
      <c r="P149" t="s">
        <v>46</v>
      </c>
      <c r="Q149">
        <v>1</v>
      </c>
      <c r="W149">
        <v>0</v>
      </c>
      <c r="X149">
        <v>1758287014</v>
      </c>
      <c r="Y149">
        <v>0.04</v>
      </c>
      <c r="AA149">
        <v>1700</v>
      </c>
      <c r="AB149">
        <v>0</v>
      </c>
      <c r="AC149">
        <v>0</v>
      </c>
      <c r="AD149">
        <v>0</v>
      </c>
      <c r="AE149">
        <v>1700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0.04</v>
      </c>
      <c r="AV149">
        <v>0</v>
      </c>
      <c r="AW149">
        <v>2</v>
      </c>
      <c r="AX149">
        <v>55657473</v>
      </c>
      <c r="AY149">
        <v>1</v>
      </c>
      <c r="AZ149">
        <v>0</v>
      </c>
      <c r="BA149">
        <v>163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Y149*Source!I74</f>
        <v>0.0168</v>
      </c>
      <c r="CY149">
        <f t="shared" si="40"/>
        <v>1700</v>
      </c>
      <c r="CZ149">
        <f t="shared" si="41"/>
        <v>1700</v>
      </c>
      <c r="DA149">
        <f t="shared" si="42"/>
        <v>1</v>
      </c>
      <c r="DB149">
        <f t="shared" si="43"/>
        <v>68</v>
      </c>
      <c r="DC149">
        <f t="shared" si="44"/>
        <v>0</v>
      </c>
    </row>
    <row r="150" spans="1:107" ht="12.75">
      <c r="A150">
        <f>ROW(Source!A74)</f>
        <v>74</v>
      </c>
      <c r="B150">
        <v>55656218</v>
      </c>
      <c r="C150">
        <v>55657460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144</v>
      </c>
      <c r="K150" t="s">
        <v>145</v>
      </c>
      <c r="L150">
        <v>1327</v>
      </c>
      <c r="N150">
        <v>1005</v>
      </c>
      <c r="O150" t="s">
        <v>146</v>
      </c>
      <c r="P150" t="s">
        <v>146</v>
      </c>
      <c r="Q150">
        <v>1</v>
      </c>
      <c r="W150">
        <v>0</v>
      </c>
      <c r="X150">
        <v>-92055618</v>
      </c>
      <c r="Y150">
        <v>100</v>
      </c>
      <c r="AA150">
        <v>27560</v>
      </c>
      <c r="AB150">
        <v>0</v>
      </c>
      <c r="AC150">
        <v>0</v>
      </c>
      <c r="AD150">
        <v>0</v>
      </c>
      <c r="AE150">
        <v>27560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T150">
        <v>100</v>
      </c>
      <c r="AV150">
        <v>0</v>
      </c>
      <c r="AW150">
        <v>1</v>
      </c>
      <c r="AX150">
        <v>-1</v>
      </c>
      <c r="AY150">
        <v>0</v>
      </c>
      <c r="AZ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Y150*Source!I74</f>
        <v>42</v>
      </c>
      <c r="CY150">
        <f t="shared" si="40"/>
        <v>27560</v>
      </c>
      <c r="CZ150">
        <f t="shared" si="41"/>
        <v>27560</v>
      </c>
      <c r="DA150">
        <f t="shared" si="42"/>
        <v>1</v>
      </c>
      <c r="DB150">
        <f t="shared" si="43"/>
        <v>2756000</v>
      </c>
      <c r="DC150">
        <f t="shared" si="44"/>
        <v>0</v>
      </c>
    </row>
    <row r="151" spans="1:107" ht="12.75">
      <c r="A151">
        <f>ROW(Source!A74)</f>
        <v>74</v>
      </c>
      <c r="B151">
        <v>55656218</v>
      </c>
      <c r="C151">
        <v>55657460</v>
      </c>
      <c r="D151">
        <v>0</v>
      </c>
      <c r="E151">
        <v>0</v>
      </c>
      <c r="F151">
        <v>1</v>
      </c>
      <c r="G151">
        <v>1</v>
      </c>
      <c r="H151">
        <v>3</v>
      </c>
      <c r="I151" t="s">
        <v>144</v>
      </c>
      <c r="K151" t="s">
        <v>149</v>
      </c>
      <c r="L151">
        <v>1377</v>
      </c>
      <c r="N151">
        <v>1013</v>
      </c>
      <c r="O151" t="s">
        <v>150</v>
      </c>
      <c r="P151" t="s">
        <v>150</v>
      </c>
      <c r="Q151">
        <v>1</v>
      </c>
      <c r="W151">
        <v>0</v>
      </c>
      <c r="X151">
        <v>-4912209</v>
      </c>
      <c r="Y151">
        <v>2.380952</v>
      </c>
      <c r="AA151">
        <v>73547</v>
      </c>
      <c r="AB151">
        <v>0</v>
      </c>
      <c r="AC151">
        <v>0</v>
      </c>
      <c r="AD151">
        <v>0</v>
      </c>
      <c r="AE151">
        <v>73547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T151">
        <v>2.380952</v>
      </c>
      <c r="AV151">
        <v>0</v>
      </c>
      <c r="AW151">
        <v>1</v>
      </c>
      <c r="AX151">
        <v>-1</v>
      </c>
      <c r="AY151">
        <v>0</v>
      </c>
      <c r="AZ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Y151*Source!I74</f>
        <v>0.9999998400000001</v>
      </c>
      <c r="CY151">
        <f t="shared" si="40"/>
        <v>73547</v>
      </c>
      <c r="CZ151">
        <f t="shared" si="41"/>
        <v>73547</v>
      </c>
      <c r="DA151">
        <f t="shared" si="42"/>
        <v>1</v>
      </c>
      <c r="DB151">
        <f t="shared" si="43"/>
        <v>175111.88</v>
      </c>
      <c r="DC151">
        <f t="shared" si="44"/>
        <v>0</v>
      </c>
    </row>
    <row r="152" spans="1:107" ht="12.75">
      <c r="A152">
        <f>ROW(Source!A75)</f>
        <v>75</v>
      </c>
      <c r="B152">
        <v>55657272</v>
      </c>
      <c r="C152">
        <v>55657460</v>
      </c>
      <c r="D152">
        <v>53630123</v>
      </c>
      <c r="E152">
        <v>70</v>
      </c>
      <c r="F152">
        <v>1</v>
      </c>
      <c r="G152">
        <v>1</v>
      </c>
      <c r="H152">
        <v>1</v>
      </c>
      <c r="I152" t="s">
        <v>356</v>
      </c>
      <c r="K152" t="s">
        <v>357</v>
      </c>
      <c r="L152">
        <v>1191</v>
      </c>
      <c r="N152">
        <v>1013</v>
      </c>
      <c r="O152" t="s">
        <v>358</v>
      </c>
      <c r="P152" t="s">
        <v>358</v>
      </c>
      <c r="Q152">
        <v>1</v>
      </c>
      <c r="W152">
        <v>0</v>
      </c>
      <c r="X152">
        <v>-1841613679</v>
      </c>
      <c r="Y152">
        <v>342.7</v>
      </c>
      <c r="AA152">
        <v>0</v>
      </c>
      <c r="AB152">
        <v>0</v>
      </c>
      <c r="AC152">
        <v>0</v>
      </c>
      <c r="AD152">
        <v>375.64</v>
      </c>
      <c r="AE152">
        <v>0</v>
      </c>
      <c r="AF152">
        <v>0</v>
      </c>
      <c r="AG152">
        <v>0</v>
      </c>
      <c r="AH152">
        <v>10.06</v>
      </c>
      <c r="AI152">
        <v>1</v>
      </c>
      <c r="AJ152">
        <v>1</v>
      </c>
      <c r="AK152">
        <v>1</v>
      </c>
      <c r="AL152">
        <v>37.34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298</v>
      </c>
      <c r="AU152" t="s">
        <v>118</v>
      </c>
      <c r="AV152">
        <v>1</v>
      </c>
      <c r="AW152">
        <v>2</v>
      </c>
      <c r="AX152">
        <v>55657461</v>
      </c>
      <c r="AY152">
        <v>1</v>
      </c>
      <c r="AZ152">
        <v>0</v>
      </c>
      <c r="BA152">
        <v>164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Y152*Source!I75</f>
        <v>143.934</v>
      </c>
      <c r="CY152">
        <f>AD152</f>
        <v>375.64</v>
      </c>
      <c r="CZ152">
        <f>AH152</f>
        <v>10.06</v>
      </c>
      <c r="DA152">
        <f>AL152</f>
        <v>37.34</v>
      </c>
      <c r="DB152">
        <f>ROUND((ROUND(AT152*CZ152,2)*ROUND(1.15,7)),2)</f>
        <v>3447.56</v>
      </c>
      <c r="DC152">
        <f>ROUND((ROUND(AT152*AG152,2)*ROUND(1.15,7)),2)</f>
        <v>0</v>
      </c>
    </row>
    <row r="153" spans="1:107" ht="12.75">
      <c r="A153">
        <f>ROW(Source!A75)</f>
        <v>75</v>
      </c>
      <c r="B153">
        <v>55657272</v>
      </c>
      <c r="C153">
        <v>55657460</v>
      </c>
      <c r="D153">
        <v>53630257</v>
      </c>
      <c r="E153">
        <v>70</v>
      </c>
      <c r="F153">
        <v>1</v>
      </c>
      <c r="G153">
        <v>1</v>
      </c>
      <c r="H153">
        <v>1</v>
      </c>
      <c r="I153" t="s">
        <v>359</v>
      </c>
      <c r="K153" t="s">
        <v>360</v>
      </c>
      <c r="L153">
        <v>1191</v>
      </c>
      <c r="N153">
        <v>1013</v>
      </c>
      <c r="O153" t="s">
        <v>358</v>
      </c>
      <c r="P153" t="s">
        <v>358</v>
      </c>
      <c r="Q153">
        <v>1</v>
      </c>
      <c r="W153">
        <v>0</v>
      </c>
      <c r="X153">
        <v>-1417349443</v>
      </c>
      <c r="Y153">
        <v>3.1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37.34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2.48</v>
      </c>
      <c r="AU153" t="s">
        <v>117</v>
      </c>
      <c r="AV153">
        <v>2</v>
      </c>
      <c r="AW153">
        <v>2</v>
      </c>
      <c r="AX153">
        <v>55657462</v>
      </c>
      <c r="AY153">
        <v>1</v>
      </c>
      <c r="AZ153">
        <v>0</v>
      </c>
      <c r="BA153">
        <v>165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Y153*Source!I75</f>
        <v>1.302</v>
      </c>
      <c r="CY153">
        <f>AD153</f>
        <v>0</v>
      </c>
      <c r="CZ153">
        <f>AH153</f>
        <v>0</v>
      </c>
      <c r="DA153">
        <f>AL153</f>
        <v>1</v>
      </c>
      <c r="DB153">
        <f>ROUND((ROUND(AT153*CZ153,2)*ROUND(1.25,7)),2)</f>
        <v>0</v>
      </c>
      <c r="DC153">
        <f>ROUND((ROUND(AT153*AG153,2)*ROUND(1.25,7)),2)</f>
        <v>0</v>
      </c>
    </row>
    <row r="154" spans="1:107" ht="12.75">
      <c r="A154">
        <f>ROW(Source!A75)</f>
        <v>75</v>
      </c>
      <c r="B154">
        <v>55657272</v>
      </c>
      <c r="C154">
        <v>55657460</v>
      </c>
      <c r="D154">
        <v>53791997</v>
      </c>
      <c r="E154">
        <v>1</v>
      </c>
      <c r="F154">
        <v>1</v>
      </c>
      <c r="G154">
        <v>1</v>
      </c>
      <c r="H154">
        <v>2</v>
      </c>
      <c r="I154" t="s">
        <v>361</v>
      </c>
      <c r="J154" t="s">
        <v>362</v>
      </c>
      <c r="K154" t="s">
        <v>363</v>
      </c>
      <c r="L154">
        <v>1367</v>
      </c>
      <c r="N154">
        <v>1011</v>
      </c>
      <c r="O154" t="s">
        <v>364</v>
      </c>
      <c r="P154" t="s">
        <v>364</v>
      </c>
      <c r="Q154">
        <v>1</v>
      </c>
      <c r="W154">
        <v>0</v>
      </c>
      <c r="X154">
        <v>-430484415</v>
      </c>
      <c r="Y154">
        <v>2.75</v>
      </c>
      <c r="AA154">
        <v>0</v>
      </c>
      <c r="AB154">
        <v>1527.9</v>
      </c>
      <c r="AC154">
        <v>504.09</v>
      </c>
      <c r="AD154">
        <v>0</v>
      </c>
      <c r="AE154">
        <v>0</v>
      </c>
      <c r="AF154">
        <v>115.4</v>
      </c>
      <c r="AG154">
        <v>13.5</v>
      </c>
      <c r="AH154">
        <v>0</v>
      </c>
      <c r="AI154">
        <v>1</v>
      </c>
      <c r="AJ154">
        <v>13.24</v>
      </c>
      <c r="AK154">
        <v>37.34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2.2</v>
      </c>
      <c r="AU154" t="s">
        <v>117</v>
      </c>
      <c r="AV154">
        <v>0</v>
      </c>
      <c r="AW154">
        <v>2</v>
      </c>
      <c r="AX154">
        <v>55657463</v>
      </c>
      <c r="AY154">
        <v>1</v>
      </c>
      <c r="AZ154">
        <v>0</v>
      </c>
      <c r="BA154">
        <v>166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Y154*Source!I75</f>
        <v>1.155</v>
      </c>
      <c r="CY154">
        <f>AB154</f>
        <v>1527.9</v>
      </c>
      <c r="CZ154">
        <f>AF154</f>
        <v>115.4</v>
      </c>
      <c r="DA154">
        <f>AJ154</f>
        <v>13.24</v>
      </c>
      <c r="DB154">
        <f>ROUND((ROUND(AT154*CZ154,2)*ROUND(1.25,7)),2)</f>
        <v>317.35</v>
      </c>
      <c r="DC154">
        <f>ROUND((ROUND(AT154*AG154,2)*ROUND(1.25,7)),2)</f>
        <v>37.13</v>
      </c>
    </row>
    <row r="155" spans="1:107" ht="12.75">
      <c r="A155">
        <f>ROW(Source!A75)</f>
        <v>75</v>
      </c>
      <c r="B155">
        <v>55657272</v>
      </c>
      <c r="C155">
        <v>55657460</v>
      </c>
      <c r="D155">
        <v>53792134</v>
      </c>
      <c r="E155">
        <v>1</v>
      </c>
      <c r="F155">
        <v>1</v>
      </c>
      <c r="G155">
        <v>1</v>
      </c>
      <c r="H155">
        <v>2</v>
      </c>
      <c r="I155" t="s">
        <v>365</v>
      </c>
      <c r="J155" t="s">
        <v>366</v>
      </c>
      <c r="K155" t="s">
        <v>367</v>
      </c>
      <c r="L155">
        <v>1367</v>
      </c>
      <c r="N155">
        <v>1011</v>
      </c>
      <c r="O155" t="s">
        <v>364</v>
      </c>
      <c r="P155" t="s">
        <v>364</v>
      </c>
      <c r="Q155">
        <v>1</v>
      </c>
      <c r="W155">
        <v>0</v>
      </c>
      <c r="X155">
        <v>-382331097</v>
      </c>
      <c r="Y155">
        <v>54.875</v>
      </c>
      <c r="AA155">
        <v>0</v>
      </c>
      <c r="AB155">
        <v>91.36</v>
      </c>
      <c r="AC155">
        <v>0</v>
      </c>
      <c r="AD155">
        <v>0</v>
      </c>
      <c r="AE155">
        <v>0</v>
      </c>
      <c r="AF155">
        <v>6.9</v>
      </c>
      <c r="AG155">
        <v>0</v>
      </c>
      <c r="AH155">
        <v>0</v>
      </c>
      <c r="AI155">
        <v>1</v>
      </c>
      <c r="AJ155">
        <v>13.24</v>
      </c>
      <c r="AK155">
        <v>37.34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43.9</v>
      </c>
      <c r="AU155" t="s">
        <v>117</v>
      </c>
      <c r="AV155">
        <v>0</v>
      </c>
      <c r="AW155">
        <v>2</v>
      </c>
      <c r="AX155">
        <v>55657464</v>
      </c>
      <c r="AY155">
        <v>1</v>
      </c>
      <c r="AZ155">
        <v>0</v>
      </c>
      <c r="BA155">
        <v>167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Y155*Source!I75</f>
        <v>23.0475</v>
      </c>
      <c r="CY155">
        <f>AB155</f>
        <v>91.36</v>
      </c>
      <c r="CZ155">
        <f>AF155</f>
        <v>6.9</v>
      </c>
      <c r="DA155">
        <f>AJ155</f>
        <v>13.24</v>
      </c>
      <c r="DB155">
        <f>ROUND((ROUND(AT155*CZ155,2)*ROUND(1.25,7)),2)</f>
        <v>378.64</v>
      </c>
      <c r="DC155">
        <f>ROUND((ROUND(AT155*AG155,2)*ROUND(1.25,7)),2)</f>
        <v>0</v>
      </c>
    </row>
    <row r="156" spans="1:107" ht="12.75">
      <c r="A156">
        <f>ROW(Source!A75)</f>
        <v>75</v>
      </c>
      <c r="B156">
        <v>55657272</v>
      </c>
      <c r="C156">
        <v>55657460</v>
      </c>
      <c r="D156">
        <v>53792927</v>
      </c>
      <c r="E156">
        <v>1</v>
      </c>
      <c r="F156">
        <v>1</v>
      </c>
      <c r="G156">
        <v>1</v>
      </c>
      <c r="H156">
        <v>2</v>
      </c>
      <c r="I156" t="s">
        <v>368</v>
      </c>
      <c r="J156" t="s">
        <v>369</v>
      </c>
      <c r="K156" t="s">
        <v>370</v>
      </c>
      <c r="L156">
        <v>1367</v>
      </c>
      <c r="N156">
        <v>1011</v>
      </c>
      <c r="O156" t="s">
        <v>364</v>
      </c>
      <c r="P156" t="s">
        <v>364</v>
      </c>
      <c r="Q156">
        <v>1</v>
      </c>
      <c r="W156">
        <v>0</v>
      </c>
      <c r="X156">
        <v>509054691</v>
      </c>
      <c r="Y156">
        <v>0.35000000000000003</v>
      </c>
      <c r="AA156">
        <v>0</v>
      </c>
      <c r="AB156">
        <v>870</v>
      </c>
      <c r="AC156">
        <v>433.14</v>
      </c>
      <c r="AD156">
        <v>0</v>
      </c>
      <c r="AE156">
        <v>0</v>
      </c>
      <c r="AF156">
        <v>65.71</v>
      </c>
      <c r="AG156">
        <v>11.6</v>
      </c>
      <c r="AH156">
        <v>0</v>
      </c>
      <c r="AI156">
        <v>1</v>
      </c>
      <c r="AJ156">
        <v>13.24</v>
      </c>
      <c r="AK156">
        <v>37.34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0.28</v>
      </c>
      <c r="AU156" t="s">
        <v>117</v>
      </c>
      <c r="AV156">
        <v>0</v>
      </c>
      <c r="AW156">
        <v>2</v>
      </c>
      <c r="AX156">
        <v>55657465</v>
      </c>
      <c r="AY156">
        <v>1</v>
      </c>
      <c r="AZ156">
        <v>0</v>
      </c>
      <c r="BA156">
        <v>168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Y156*Source!I75</f>
        <v>0.14700000000000002</v>
      </c>
      <c r="CY156">
        <f>AB156</f>
        <v>870</v>
      </c>
      <c r="CZ156">
        <f>AF156</f>
        <v>65.71</v>
      </c>
      <c r="DA156">
        <f>AJ156</f>
        <v>13.24</v>
      </c>
      <c r="DB156">
        <f>ROUND((ROUND(AT156*CZ156,2)*ROUND(1.25,7)),2)</f>
        <v>23</v>
      </c>
      <c r="DC156">
        <f>ROUND((ROUND(AT156*AG156,2)*ROUND(1.25,7)),2)</f>
        <v>4.06</v>
      </c>
    </row>
    <row r="157" spans="1:107" ht="12.75">
      <c r="A157">
        <f>ROW(Source!A75)</f>
        <v>75</v>
      </c>
      <c r="B157">
        <v>55657272</v>
      </c>
      <c r="C157">
        <v>55657460</v>
      </c>
      <c r="D157">
        <v>53646035</v>
      </c>
      <c r="E157">
        <v>1</v>
      </c>
      <c r="F157">
        <v>1</v>
      </c>
      <c r="G157">
        <v>1</v>
      </c>
      <c r="H157">
        <v>3</v>
      </c>
      <c r="I157" t="s">
        <v>66</v>
      </c>
      <c r="J157" t="s">
        <v>68</v>
      </c>
      <c r="K157" t="s">
        <v>67</v>
      </c>
      <c r="L157">
        <v>1348</v>
      </c>
      <c r="N157">
        <v>1009</v>
      </c>
      <c r="O157" t="s">
        <v>41</v>
      </c>
      <c r="P157" t="s">
        <v>41</v>
      </c>
      <c r="Q157">
        <v>1000</v>
      </c>
      <c r="W157">
        <v>0</v>
      </c>
      <c r="X157">
        <v>-1671348935</v>
      </c>
      <c r="Y157">
        <v>0.00115</v>
      </c>
      <c r="AA157">
        <v>254688</v>
      </c>
      <c r="AB157">
        <v>0</v>
      </c>
      <c r="AC157">
        <v>0</v>
      </c>
      <c r="AD157">
        <v>0</v>
      </c>
      <c r="AE157">
        <v>37900</v>
      </c>
      <c r="AF157">
        <v>0</v>
      </c>
      <c r="AG157">
        <v>0</v>
      </c>
      <c r="AH157">
        <v>0</v>
      </c>
      <c r="AI157">
        <v>6.72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0.00115</v>
      </c>
      <c r="AV157">
        <v>0</v>
      </c>
      <c r="AW157">
        <v>2</v>
      </c>
      <c r="AX157">
        <v>55657467</v>
      </c>
      <c r="AY157">
        <v>1</v>
      </c>
      <c r="AZ157">
        <v>0</v>
      </c>
      <c r="BA157">
        <v>170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Y157*Source!I75</f>
        <v>0.000483</v>
      </c>
      <c r="CY157">
        <f aca="true" t="shared" si="45" ref="CY157:CY162">AA157</f>
        <v>254688</v>
      </c>
      <c r="CZ157">
        <f aca="true" t="shared" si="46" ref="CZ157:CZ162">AE157</f>
        <v>37900</v>
      </c>
      <c r="DA157">
        <f aca="true" t="shared" si="47" ref="DA157:DA162">AI157</f>
        <v>6.72</v>
      </c>
      <c r="DB157">
        <f aca="true" t="shared" si="48" ref="DB157:DB162">ROUND(ROUND(AT157*CZ157,2),2)</f>
        <v>43.59</v>
      </c>
      <c r="DC157">
        <f aca="true" t="shared" si="49" ref="DC157:DC162">ROUND(ROUND(AT157*AG157,2),2)</f>
        <v>0</v>
      </c>
    </row>
    <row r="158" spans="1:107" ht="12.75">
      <c r="A158">
        <f>ROW(Source!A75)</f>
        <v>75</v>
      </c>
      <c r="B158">
        <v>55657272</v>
      </c>
      <c r="C158">
        <v>55657460</v>
      </c>
      <c r="D158">
        <v>53659617</v>
      </c>
      <c r="E158">
        <v>1</v>
      </c>
      <c r="F158">
        <v>1</v>
      </c>
      <c r="G158">
        <v>1</v>
      </c>
      <c r="H158">
        <v>3</v>
      </c>
      <c r="I158" t="s">
        <v>70</v>
      </c>
      <c r="J158" t="s">
        <v>72</v>
      </c>
      <c r="K158" t="s">
        <v>71</v>
      </c>
      <c r="L158">
        <v>1348</v>
      </c>
      <c r="N158">
        <v>1009</v>
      </c>
      <c r="O158" t="s">
        <v>41</v>
      </c>
      <c r="P158" t="s">
        <v>41</v>
      </c>
      <c r="Q158">
        <v>1000</v>
      </c>
      <c r="W158">
        <v>0</v>
      </c>
      <c r="X158">
        <v>-1915778085</v>
      </c>
      <c r="Y158">
        <v>0.02</v>
      </c>
      <c r="AA158">
        <v>51824.64</v>
      </c>
      <c r="AB158">
        <v>0</v>
      </c>
      <c r="AC158">
        <v>0</v>
      </c>
      <c r="AD158">
        <v>0</v>
      </c>
      <c r="AE158">
        <v>7712</v>
      </c>
      <c r="AF158">
        <v>0</v>
      </c>
      <c r="AG158">
        <v>0</v>
      </c>
      <c r="AH158">
        <v>0</v>
      </c>
      <c r="AI158">
        <v>6.72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0.02</v>
      </c>
      <c r="AV158">
        <v>0</v>
      </c>
      <c r="AW158">
        <v>2</v>
      </c>
      <c r="AX158">
        <v>55657470</v>
      </c>
      <c r="AY158">
        <v>1</v>
      </c>
      <c r="AZ158">
        <v>0</v>
      </c>
      <c r="BA158">
        <v>173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Y158*Source!I75</f>
        <v>0.0084</v>
      </c>
      <c r="CY158">
        <f t="shared" si="45"/>
        <v>51824.64</v>
      </c>
      <c r="CZ158">
        <f t="shared" si="46"/>
        <v>7712</v>
      </c>
      <c r="DA158">
        <f t="shared" si="47"/>
        <v>6.72</v>
      </c>
      <c r="DB158">
        <f t="shared" si="48"/>
        <v>154.24</v>
      </c>
      <c r="DC158">
        <f t="shared" si="49"/>
        <v>0</v>
      </c>
    </row>
    <row r="159" spans="1:107" ht="12.75">
      <c r="A159">
        <f>ROW(Source!A75)</f>
        <v>75</v>
      </c>
      <c r="B159">
        <v>55657272</v>
      </c>
      <c r="C159">
        <v>55657460</v>
      </c>
      <c r="D159">
        <v>53661716</v>
      </c>
      <c r="E159">
        <v>1</v>
      </c>
      <c r="F159">
        <v>1</v>
      </c>
      <c r="G159">
        <v>1</v>
      </c>
      <c r="H159">
        <v>3</v>
      </c>
      <c r="I159" t="s">
        <v>74</v>
      </c>
      <c r="J159" t="s">
        <v>77</v>
      </c>
      <c r="K159" t="s">
        <v>75</v>
      </c>
      <c r="L159">
        <v>1302</v>
      </c>
      <c r="N159">
        <v>1003</v>
      </c>
      <c r="O159" t="s">
        <v>76</v>
      </c>
      <c r="P159" t="s">
        <v>76</v>
      </c>
      <c r="Q159">
        <v>10</v>
      </c>
      <c r="W159">
        <v>0</v>
      </c>
      <c r="X159">
        <v>581091037</v>
      </c>
      <c r="Y159">
        <v>0.2</v>
      </c>
      <c r="AA159">
        <v>337.61</v>
      </c>
      <c r="AB159">
        <v>0</v>
      </c>
      <c r="AC159">
        <v>0</v>
      </c>
      <c r="AD159">
        <v>0</v>
      </c>
      <c r="AE159">
        <v>50.24</v>
      </c>
      <c r="AF159">
        <v>0</v>
      </c>
      <c r="AG159">
        <v>0</v>
      </c>
      <c r="AH159">
        <v>0</v>
      </c>
      <c r="AI159">
        <v>6.72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0.2</v>
      </c>
      <c r="AV159">
        <v>0</v>
      </c>
      <c r="AW159">
        <v>2</v>
      </c>
      <c r="AX159">
        <v>55657471</v>
      </c>
      <c r="AY159">
        <v>1</v>
      </c>
      <c r="AZ159">
        <v>0</v>
      </c>
      <c r="BA159">
        <v>174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Y159*Source!I75</f>
        <v>0.084</v>
      </c>
      <c r="CY159">
        <f t="shared" si="45"/>
        <v>337.61</v>
      </c>
      <c r="CZ159">
        <f t="shared" si="46"/>
        <v>50.24</v>
      </c>
      <c r="DA159">
        <f t="shared" si="47"/>
        <v>6.72</v>
      </c>
      <c r="DB159">
        <f t="shared" si="48"/>
        <v>10.05</v>
      </c>
      <c r="DC159">
        <f t="shared" si="49"/>
        <v>0</v>
      </c>
    </row>
    <row r="160" spans="1:107" ht="12.75">
      <c r="A160">
        <f>ROW(Source!A75)</f>
        <v>75</v>
      </c>
      <c r="B160">
        <v>55657272</v>
      </c>
      <c r="C160">
        <v>55657460</v>
      </c>
      <c r="D160">
        <v>53666055</v>
      </c>
      <c r="E160">
        <v>1</v>
      </c>
      <c r="F160">
        <v>1</v>
      </c>
      <c r="G160">
        <v>1</v>
      </c>
      <c r="H160">
        <v>3</v>
      </c>
      <c r="I160" t="s">
        <v>87</v>
      </c>
      <c r="J160" t="s">
        <v>89</v>
      </c>
      <c r="K160" t="s">
        <v>88</v>
      </c>
      <c r="L160">
        <v>1339</v>
      </c>
      <c r="N160">
        <v>1007</v>
      </c>
      <c r="O160" t="s">
        <v>46</v>
      </c>
      <c r="P160" t="s">
        <v>46</v>
      </c>
      <c r="Q160">
        <v>1</v>
      </c>
      <c r="W160">
        <v>0</v>
      </c>
      <c r="X160">
        <v>1758287014</v>
      </c>
      <c r="Y160">
        <v>0.04</v>
      </c>
      <c r="AA160">
        <v>11424</v>
      </c>
      <c r="AB160">
        <v>0</v>
      </c>
      <c r="AC160">
        <v>0</v>
      </c>
      <c r="AD160">
        <v>0</v>
      </c>
      <c r="AE160">
        <v>1700</v>
      </c>
      <c r="AF160">
        <v>0</v>
      </c>
      <c r="AG160">
        <v>0</v>
      </c>
      <c r="AH160">
        <v>0</v>
      </c>
      <c r="AI160">
        <v>6.72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0.04</v>
      </c>
      <c r="AV160">
        <v>0</v>
      </c>
      <c r="AW160">
        <v>2</v>
      </c>
      <c r="AX160">
        <v>55657473</v>
      </c>
      <c r="AY160">
        <v>1</v>
      </c>
      <c r="AZ160">
        <v>0</v>
      </c>
      <c r="BA160">
        <v>176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Y160*Source!I75</f>
        <v>0.0168</v>
      </c>
      <c r="CY160">
        <f t="shared" si="45"/>
        <v>11424</v>
      </c>
      <c r="CZ160">
        <f t="shared" si="46"/>
        <v>1700</v>
      </c>
      <c r="DA160">
        <f t="shared" si="47"/>
        <v>6.72</v>
      </c>
      <c r="DB160">
        <f t="shared" si="48"/>
        <v>68</v>
      </c>
      <c r="DC160">
        <f t="shared" si="49"/>
        <v>0</v>
      </c>
    </row>
    <row r="161" spans="1:107" ht="12.75">
      <c r="A161">
        <f>ROW(Source!A75)</f>
        <v>75</v>
      </c>
      <c r="B161">
        <v>55657272</v>
      </c>
      <c r="C161">
        <v>55657460</v>
      </c>
      <c r="D161">
        <v>0</v>
      </c>
      <c r="E161">
        <v>0</v>
      </c>
      <c r="F161">
        <v>1</v>
      </c>
      <c r="G161">
        <v>1</v>
      </c>
      <c r="H161">
        <v>3</v>
      </c>
      <c r="I161" t="s">
        <v>144</v>
      </c>
      <c r="K161" t="s">
        <v>145</v>
      </c>
      <c r="L161">
        <v>1327</v>
      </c>
      <c r="N161">
        <v>1005</v>
      </c>
      <c r="O161" t="s">
        <v>146</v>
      </c>
      <c r="P161" t="s">
        <v>146</v>
      </c>
      <c r="Q161">
        <v>1</v>
      </c>
      <c r="W161">
        <v>0</v>
      </c>
      <c r="X161">
        <v>-92055618</v>
      </c>
      <c r="Y161">
        <v>100</v>
      </c>
      <c r="AA161">
        <v>27560</v>
      </c>
      <c r="AB161">
        <v>0</v>
      </c>
      <c r="AC161">
        <v>0</v>
      </c>
      <c r="AD161">
        <v>0</v>
      </c>
      <c r="AE161">
        <v>27560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T161">
        <v>100</v>
      </c>
      <c r="AV161">
        <v>0</v>
      </c>
      <c r="AW161">
        <v>1</v>
      </c>
      <c r="AX161">
        <v>-1</v>
      </c>
      <c r="AY161">
        <v>0</v>
      </c>
      <c r="AZ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Y161*Source!I75</f>
        <v>42</v>
      </c>
      <c r="CY161">
        <f t="shared" si="45"/>
        <v>27560</v>
      </c>
      <c r="CZ161">
        <f t="shared" si="46"/>
        <v>27560</v>
      </c>
      <c r="DA161">
        <f t="shared" si="47"/>
        <v>1</v>
      </c>
      <c r="DB161">
        <f t="shared" si="48"/>
        <v>2756000</v>
      </c>
      <c r="DC161">
        <f t="shared" si="49"/>
        <v>0</v>
      </c>
    </row>
    <row r="162" spans="1:107" ht="12.75">
      <c r="A162">
        <f>ROW(Source!A75)</f>
        <v>75</v>
      </c>
      <c r="B162">
        <v>55657272</v>
      </c>
      <c r="C162">
        <v>55657460</v>
      </c>
      <c r="D162">
        <v>0</v>
      </c>
      <c r="E162">
        <v>0</v>
      </c>
      <c r="F162">
        <v>1</v>
      </c>
      <c r="G162">
        <v>1</v>
      </c>
      <c r="H162">
        <v>3</v>
      </c>
      <c r="I162" t="s">
        <v>144</v>
      </c>
      <c r="K162" t="s">
        <v>149</v>
      </c>
      <c r="L162">
        <v>1377</v>
      </c>
      <c r="N162">
        <v>1013</v>
      </c>
      <c r="O162" t="s">
        <v>150</v>
      </c>
      <c r="P162" t="s">
        <v>150</v>
      </c>
      <c r="Q162">
        <v>1</v>
      </c>
      <c r="W162">
        <v>0</v>
      </c>
      <c r="X162">
        <v>-4912209</v>
      </c>
      <c r="Y162">
        <v>2.380952</v>
      </c>
      <c r="AA162">
        <v>73547</v>
      </c>
      <c r="AB162">
        <v>0</v>
      </c>
      <c r="AC162">
        <v>0</v>
      </c>
      <c r="AD162">
        <v>0</v>
      </c>
      <c r="AE162">
        <v>73547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T162">
        <v>2.380952</v>
      </c>
      <c r="AV162">
        <v>0</v>
      </c>
      <c r="AW162">
        <v>1</v>
      </c>
      <c r="AX162">
        <v>-1</v>
      </c>
      <c r="AY162">
        <v>0</v>
      </c>
      <c r="AZ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Y162*Source!I75</f>
        <v>0.9999998400000001</v>
      </c>
      <c r="CY162">
        <f t="shared" si="45"/>
        <v>73547</v>
      </c>
      <c r="CZ162">
        <f t="shared" si="46"/>
        <v>73547</v>
      </c>
      <c r="DA162">
        <f t="shared" si="47"/>
        <v>1</v>
      </c>
      <c r="DB162">
        <f t="shared" si="48"/>
        <v>175111.88</v>
      </c>
      <c r="DC162">
        <f t="shared" si="49"/>
        <v>0</v>
      </c>
    </row>
    <row r="163" spans="1:107" ht="12.75">
      <c r="A163">
        <f>ROW(Source!A80)</f>
        <v>80</v>
      </c>
      <c r="B163">
        <v>55656218</v>
      </c>
      <c r="C163">
        <v>55658846</v>
      </c>
      <c r="D163">
        <v>53630083</v>
      </c>
      <c r="E163">
        <v>70</v>
      </c>
      <c r="F163">
        <v>1</v>
      </c>
      <c r="G163">
        <v>1</v>
      </c>
      <c r="H163">
        <v>1</v>
      </c>
      <c r="I163" t="s">
        <v>395</v>
      </c>
      <c r="K163" t="s">
        <v>396</v>
      </c>
      <c r="L163">
        <v>1191</v>
      </c>
      <c r="N163">
        <v>1013</v>
      </c>
      <c r="O163" t="s">
        <v>358</v>
      </c>
      <c r="P163" t="s">
        <v>358</v>
      </c>
      <c r="Q163">
        <v>1</v>
      </c>
      <c r="W163">
        <v>0</v>
      </c>
      <c r="X163">
        <v>1893946532</v>
      </c>
      <c r="Y163">
        <v>38.065</v>
      </c>
      <c r="AA163">
        <v>0</v>
      </c>
      <c r="AB163">
        <v>0</v>
      </c>
      <c r="AC163">
        <v>0</v>
      </c>
      <c r="AD163">
        <v>9.07</v>
      </c>
      <c r="AE163">
        <v>0</v>
      </c>
      <c r="AF163">
        <v>0</v>
      </c>
      <c r="AG163">
        <v>0</v>
      </c>
      <c r="AH163">
        <v>9.07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33.1</v>
      </c>
      <c r="AU163" t="s">
        <v>118</v>
      </c>
      <c r="AV163">
        <v>1</v>
      </c>
      <c r="AW163">
        <v>2</v>
      </c>
      <c r="AX163">
        <v>55658847</v>
      </c>
      <c r="AY163">
        <v>1</v>
      </c>
      <c r="AZ163">
        <v>0</v>
      </c>
      <c r="BA163">
        <v>177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Y163*Source!I80</f>
        <v>27.406799999999997</v>
      </c>
      <c r="CY163">
        <f>AD163</f>
        <v>9.07</v>
      </c>
      <c r="CZ163">
        <f>AH163</f>
        <v>9.07</v>
      </c>
      <c r="DA163">
        <f>AL163</f>
        <v>1</v>
      </c>
      <c r="DB163">
        <f>ROUND((ROUND(AT163*CZ163,2)*ROUND(1.15,7)),2)</f>
        <v>345.25</v>
      </c>
      <c r="DC163">
        <f>ROUND((ROUND(AT163*AG163,2)*ROUND(1.15,7)),2)</f>
        <v>0</v>
      </c>
    </row>
    <row r="164" spans="1:107" ht="12.75">
      <c r="A164">
        <f>ROW(Source!A80)</f>
        <v>80</v>
      </c>
      <c r="B164">
        <v>55656218</v>
      </c>
      <c r="C164">
        <v>55658846</v>
      </c>
      <c r="D164">
        <v>53644879</v>
      </c>
      <c r="E164">
        <v>1</v>
      </c>
      <c r="F164">
        <v>1</v>
      </c>
      <c r="G164">
        <v>1</v>
      </c>
      <c r="H164">
        <v>3</v>
      </c>
      <c r="I164" t="s">
        <v>397</v>
      </c>
      <c r="J164" t="s">
        <v>398</v>
      </c>
      <c r="K164" t="s">
        <v>399</v>
      </c>
      <c r="L164">
        <v>1348</v>
      </c>
      <c r="N164">
        <v>1009</v>
      </c>
      <c r="O164" t="s">
        <v>41</v>
      </c>
      <c r="P164" t="s">
        <v>41</v>
      </c>
      <c r="Q164">
        <v>1000</v>
      </c>
      <c r="W164">
        <v>0</v>
      </c>
      <c r="X164">
        <v>630459482</v>
      </c>
      <c r="Y164">
        <v>0.006</v>
      </c>
      <c r="AA164">
        <v>22954.57</v>
      </c>
      <c r="AB164">
        <v>0</v>
      </c>
      <c r="AC164">
        <v>0</v>
      </c>
      <c r="AD164">
        <v>0</v>
      </c>
      <c r="AE164">
        <v>22954.57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0.006</v>
      </c>
      <c r="AV164">
        <v>0</v>
      </c>
      <c r="AW164">
        <v>2</v>
      </c>
      <c r="AX164">
        <v>55658848</v>
      </c>
      <c r="AY164">
        <v>1</v>
      </c>
      <c r="AZ164">
        <v>0</v>
      </c>
      <c r="BA164">
        <v>178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Y164*Source!I80</f>
        <v>0.00432</v>
      </c>
      <c r="CY164">
        <f>AA164</f>
        <v>22954.57</v>
      </c>
      <c r="CZ164">
        <f>AE164</f>
        <v>22954.57</v>
      </c>
      <c r="DA164">
        <f>AI164</f>
        <v>1</v>
      </c>
      <c r="DB164">
        <f>ROUND(ROUND(AT164*CZ164,2),2)</f>
        <v>137.73</v>
      </c>
      <c r="DC164">
        <f>ROUND(ROUND(AT164*AG164,2),2)</f>
        <v>0</v>
      </c>
    </row>
    <row r="165" spans="1:107" ht="12.75">
      <c r="A165">
        <f>ROW(Source!A80)</f>
        <v>80</v>
      </c>
      <c r="B165">
        <v>55656218</v>
      </c>
      <c r="C165">
        <v>55658846</v>
      </c>
      <c r="D165">
        <v>0</v>
      </c>
      <c r="E165">
        <v>0</v>
      </c>
      <c r="F165">
        <v>1</v>
      </c>
      <c r="G165">
        <v>1</v>
      </c>
      <c r="H165">
        <v>3</v>
      </c>
      <c r="I165" t="s">
        <v>144</v>
      </c>
      <c r="K165" t="s">
        <v>157</v>
      </c>
      <c r="L165">
        <v>1301</v>
      </c>
      <c r="N165">
        <v>1003</v>
      </c>
      <c r="O165" t="s">
        <v>158</v>
      </c>
      <c r="P165" t="s">
        <v>158</v>
      </c>
      <c r="Q165">
        <v>1</v>
      </c>
      <c r="W165">
        <v>0</v>
      </c>
      <c r="X165">
        <v>-1167678067</v>
      </c>
      <c r="Y165">
        <v>100</v>
      </c>
      <c r="AA165">
        <v>2917</v>
      </c>
      <c r="AB165">
        <v>0</v>
      </c>
      <c r="AC165">
        <v>0</v>
      </c>
      <c r="AD165">
        <v>0</v>
      </c>
      <c r="AE165">
        <v>2917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T165">
        <v>100</v>
      </c>
      <c r="AV165">
        <v>0</v>
      </c>
      <c r="AW165">
        <v>1</v>
      </c>
      <c r="AX165">
        <v>-1</v>
      </c>
      <c r="AY165">
        <v>0</v>
      </c>
      <c r="AZ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Y165*Source!I80</f>
        <v>72</v>
      </c>
      <c r="CY165">
        <f>AA165</f>
        <v>2917</v>
      </c>
      <c r="CZ165">
        <f>AE165</f>
        <v>2917</v>
      </c>
      <c r="DA165">
        <f>AI165</f>
        <v>1</v>
      </c>
      <c r="DB165">
        <f>ROUND(ROUND(AT165*CZ165,2),2)</f>
        <v>291700</v>
      </c>
      <c r="DC165">
        <f>ROUND(ROUND(AT165*AG165,2),2)</f>
        <v>0</v>
      </c>
    </row>
    <row r="166" spans="1:107" ht="12.75">
      <c r="A166">
        <f>ROW(Source!A81)</f>
        <v>81</v>
      </c>
      <c r="B166">
        <v>55657272</v>
      </c>
      <c r="C166">
        <v>55658846</v>
      </c>
      <c r="D166">
        <v>53630083</v>
      </c>
      <c r="E166">
        <v>70</v>
      </c>
      <c r="F166">
        <v>1</v>
      </c>
      <c r="G166">
        <v>1</v>
      </c>
      <c r="H166">
        <v>1</v>
      </c>
      <c r="I166" t="s">
        <v>395</v>
      </c>
      <c r="K166" t="s">
        <v>396</v>
      </c>
      <c r="L166">
        <v>1191</v>
      </c>
      <c r="N166">
        <v>1013</v>
      </c>
      <c r="O166" t="s">
        <v>358</v>
      </c>
      <c r="P166" t="s">
        <v>358</v>
      </c>
      <c r="Q166">
        <v>1</v>
      </c>
      <c r="W166">
        <v>0</v>
      </c>
      <c r="X166">
        <v>1893946532</v>
      </c>
      <c r="Y166">
        <v>38.065</v>
      </c>
      <c r="AA166">
        <v>0</v>
      </c>
      <c r="AB166">
        <v>0</v>
      </c>
      <c r="AC166">
        <v>0</v>
      </c>
      <c r="AD166">
        <v>338.67</v>
      </c>
      <c r="AE166">
        <v>0</v>
      </c>
      <c r="AF166">
        <v>0</v>
      </c>
      <c r="AG166">
        <v>0</v>
      </c>
      <c r="AH166">
        <v>9.07</v>
      </c>
      <c r="AI166">
        <v>1</v>
      </c>
      <c r="AJ166">
        <v>1</v>
      </c>
      <c r="AK166">
        <v>1</v>
      </c>
      <c r="AL166">
        <v>37.34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33.1</v>
      </c>
      <c r="AU166" t="s">
        <v>118</v>
      </c>
      <c r="AV166">
        <v>1</v>
      </c>
      <c r="AW166">
        <v>2</v>
      </c>
      <c r="AX166">
        <v>55658847</v>
      </c>
      <c r="AY166">
        <v>1</v>
      </c>
      <c r="AZ166">
        <v>0</v>
      </c>
      <c r="BA166">
        <v>180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Y166*Source!I81</f>
        <v>27.406799999999997</v>
      </c>
      <c r="CY166">
        <f>AD166</f>
        <v>338.67</v>
      </c>
      <c r="CZ166">
        <f>AH166</f>
        <v>9.07</v>
      </c>
      <c r="DA166">
        <f>AL166</f>
        <v>37.34</v>
      </c>
      <c r="DB166">
        <f>ROUND((ROUND(AT166*CZ166,2)*ROUND(1.15,7)),2)</f>
        <v>345.25</v>
      </c>
      <c r="DC166">
        <f>ROUND((ROUND(AT166*AG166,2)*ROUND(1.15,7)),2)</f>
        <v>0</v>
      </c>
    </row>
    <row r="167" spans="1:107" ht="12.75">
      <c r="A167">
        <f>ROW(Source!A81)</f>
        <v>81</v>
      </c>
      <c r="B167">
        <v>55657272</v>
      </c>
      <c r="C167">
        <v>55658846</v>
      </c>
      <c r="D167">
        <v>53644879</v>
      </c>
      <c r="E167">
        <v>1</v>
      </c>
      <c r="F167">
        <v>1</v>
      </c>
      <c r="G167">
        <v>1</v>
      </c>
      <c r="H167">
        <v>3</v>
      </c>
      <c r="I167" t="s">
        <v>397</v>
      </c>
      <c r="J167" t="s">
        <v>398</v>
      </c>
      <c r="K167" t="s">
        <v>399</v>
      </c>
      <c r="L167">
        <v>1348</v>
      </c>
      <c r="N167">
        <v>1009</v>
      </c>
      <c r="O167" t="s">
        <v>41</v>
      </c>
      <c r="P167" t="s">
        <v>41</v>
      </c>
      <c r="Q167">
        <v>1000</v>
      </c>
      <c r="W167">
        <v>0</v>
      </c>
      <c r="X167">
        <v>630459482</v>
      </c>
      <c r="Y167">
        <v>0.006</v>
      </c>
      <c r="AA167">
        <v>154254.71</v>
      </c>
      <c r="AB167">
        <v>0</v>
      </c>
      <c r="AC167">
        <v>0</v>
      </c>
      <c r="AD167">
        <v>0</v>
      </c>
      <c r="AE167">
        <v>22954.57</v>
      </c>
      <c r="AF167">
        <v>0</v>
      </c>
      <c r="AG167">
        <v>0</v>
      </c>
      <c r="AH167">
        <v>0</v>
      </c>
      <c r="AI167">
        <v>6.72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0.006</v>
      </c>
      <c r="AV167">
        <v>0</v>
      </c>
      <c r="AW167">
        <v>2</v>
      </c>
      <c r="AX167">
        <v>55658848</v>
      </c>
      <c r="AY167">
        <v>1</v>
      </c>
      <c r="AZ167">
        <v>0</v>
      </c>
      <c r="BA167">
        <v>181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Y167*Source!I81</f>
        <v>0.00432</v>
      </c>
      <c r="CY167">
        <f>AA167</f>
        <v>154254.71</v>
      </c>
      <c r="CZ167">
        <f>AE167</f>
        <v>22954.57</v>
      </c>
      <c r="DA167">
        <f>AI167</f>
        <v>6.72</v>
      </c>
      <c r="DB167">
        <f aca="true" t="shared" si="50" ref="DB167:DB192">ROUND(ROUND(AT167*CZ167,2),2)</f>
        <v>137.73</v>
      </c>
      <c r="DC167">
        <f aca="true" t="shared" si="51" ref="DC167:DC192">ROUND(ROUND(AT167*AG167,2),2)</f>
        <v>0</v>
      </c>
    </row>
    <row r="168" spans="1:107" ht="12.75">
      <c r="A168">
        <f>ROW(Source!A81)</f>
        <v>81</v>
      </c>
      <c r="B168">
        <v>55657272</v>
      </c>
      <c r="C168">
        <v>55658846</v>
      </c>
      <c r="D168">
        <v>0</v>
      </c>
      <c r="E168">
        <v>0</v>
      </c>
      <c r="F168">
        <v>1</v>
      </c>
      <c r="G168">
        <v>1</v>
      </c>
      <c r="H168">
        <v>3</v>
      </c>
      <c r="I168" t="s">
        <v>144</v>
      </c>
      <c r="K168" t="s">
        <v>157</v>
      </c>
      <c r="L168">
        <v>1301</v>
      </c>
      <c r="N168">
        <v>1003</v>
      </c>
      <c r="O168" t="s">
        <v>158</v>
      </c>
      <c r="P168" t="s">
        <v>158</v>
      </c>
      <c r="Q168">
        <v>1</v>
      </c>
      <c r="W168">
        <v>0</v>
      </c>
      <c r="X168">
        <v>-1167678067</v>
      </c>
      <c r="Y168">
        <v>100</v>
      </c>
      <c r="AA168">
        <v>2917</v>
      </c>
      <c r="AB168">
        <v>0</v>
      </c>
      <c r="AC168">
        <v>0</v>
      </c>
      <c r="AD168">
        <v>0</v>
      </c>
      <c r="AE168">
        <v>2917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T168">
        <v>100</v>
      </c>
      <c r="AV168">
        <v>0</v>
      </c>
      <c r="AW168">
        <v>1</v>
      </c>
      <c r="AX168">
        <v>-1</v>
      </c>
      <c r="AY168">
        <v>0</v>
      </c>
      <c r="AZ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Y168*Source!I81</f>
        <v>72</v>
      </c>
      <c r="CY168">
        <f>AA168</f>
        <v>2917</v>
      </c>
      <c r="CZ168">
        <f>AE168</f>
        <v>2917</v>
      </c>
      <c r="DA168">
        <f>AI168</f>
        <v>1</v>
      </c>
      <c r="DB168">
        <f t="shared" si="50"/>
        <v>291700</v>
      </c>
      <c r="DC168">
        <f t="shared" si="51"/>
        <v>0</v>
      </c>
    </row>
    <row r="169" spans="1:107" ht="12.75">
      <c r="A169">
        <f>ROW(Source!A84)</f>
        <v>84</v>
      </c>
      <c r="B169">
        <v>55656218</v>
      </c>
      <c r="C169">
        <v>55659013</v>
      </c>
      <c r="D169">
        <v>53630075</v>
      </c>
      <c r="E169">
        <v>70</v>
      </c>
      <c r="F169">
        <v>1</v>
      </c>
      <c r="G169">
        <v>1</v>
      </c>
      <c r="H169">
        <v>1</v>
      </c>
      <c r="I169" t="s">
        <v>400</v>
      </c>
      <c r="K169" t="s">
        <v>401</v>
      </c>
      <c r="L169">
        <v>1191</v>
      </c>
      <c r="N169">
        <v>1013</v>
      </c>
      <c r="O169" t="s">
        <v>358</v>
      </c>
      <c r="P169" t="s">
        <v>358</v>
      </c>
      <c r="Q169">
        <v>1</v>
      </c>
      <c r="W169">
        <v>0</v>
      </c>
      <c r="X169">
        <v>-112797078</v>
      </c>
      <c r="Y169">
        <v>11.58</v>
      </c>
      <c r="AA169">
        <v>0</v>
      </c>
      <c r="AB169">
        <v>0</v>
      </c>
      <c r="AC169">
        <v>0</v>
      </c>
      <c r="AD169">
        <v>8.97</v>
      </c>
      <c r="AE169">
        <v>0</v>
      </c>
      <c r="AF169">
        <v>0</v>
      </c>
      <c r="AG169">
        <v>0</v>
      </c>
      <c r="AH169">
        <v>8.97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11.58</v>
      </c>
      <c r="AV169">
        <v>1</v>
      </c>
      <c r="AW169">
        <v>2</v>
      </c>
      <c r="AX169">
        <v>55659014</v>
      </c>
      <c r="AY169">
        <v>1</v>
      </c>
      <c r="AZ169">
        <v>0</v>
      </c>
      <c r="BA169">
        <v>183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Y169*Source!I84</f>
        <v>23.16</v>
      </c>
      <c r="CY169">
        <f>AD169</f>
        <v>8.97</v>
      </c>
      <c r="CZ169">
        <f>AH169</f>
        <v>8.97</v>
      </c>
      <c r="DA169">
        <f>AL169</f>
        <v>1</v>
      </c>
      <c r="DB169">
        <f t="shared" si="50"/>
        <v>103.87</v>
      </c>
      <c r="DC169">
        <f t="shared" si="51"/>
        <v>0</v>
      </c>
    </row>
    <row r="170" spans="1:107" ht="12.75">
      <c r="A170">
        <f>ROW(Source!A84)</f>
        <v>84</v>
      </c>
      <c r="B170">
        <v>55656218</v>
      </c>
      <c r="C170">
        <v>55659013</v>
      </c>
      <c r="D170">
        <v>53630257</v>
      </c>
      <c r="E170">
        <v>70</v>
      </c>
      <c r="F170">
        <v>1</v>
      </c>
      <c r="G170">
        <v>1</v>
      </c>
      <c r="H170">
        <v>1</v>
      </c>
      <c r="I170" t="s">
        <v>359</v>
      </c>
      <c r="K170" t="s">
        <v>360</v>
      </c>
      <c r="L170">
        <v>1191</v>
      </c>
      <c r="N170">
        <v>1013</v>
      </c>
      <c r="O170" t="s">
        <v>358</v>
      </c>
      <c r="P170" t="s">
        <v>358</v>
      </c>
      <c r="Q170">
        <v>1</v>
      </c>
      <c r="W170">
        <v>0</v>
      </c>
      <c r="X170">
        <v>-1417349443</v>
      </c>
      <c r="Y170">
        <v>0.03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0.03</v>
      </c>
      <c r="AV170">
        <v>2</v>
      </c>
      <c r="AW170">
        <v>2</v>
      </c>
      <c r="AX170">
        <v>55659015</v>
      </c>
      <c r="AY170">
        <v>1</v>
      </c>
      <c r="AZ170">
        <v>0</v>
      </c>
      <c r="BA170">
        <v>184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Y170*Source!I84</f>
        <v>0.06</v>
      </c>
      <c r="CY170">
        <f>AD170</f>
        <v>0</v>
      </c>
      <c r="CZ170">
        <f>AH170</f>
        <v>0</v>
      </c>
      <c r="DA170">
        <f>AL170</f>
        <v>1</v>
      </c>
      <c r="DB170">
        <f t="shared" si="50"/>
        <v>0</v>
      </c>
      <c r="DC170">
        <f t="shared" si="51"/>
        <v>0</v>
      </c>
    </row>
    <row r="171" spans="1:107" ht="12.75">
      <c r="A171">
        <f>ROW(Source!A84)</f>
        <v>84</v>
      </c>
      <c r="B171">
        <v>55656218</v>
      </c>
      <c r="C171">
        <v>55659013</v>
      </c>
      <c r="D171">
        <v>53792062</v>
      </c>
      <c r="E171">
        <v>1</v>
      </c>
      <c r="F171">
        <v>1</v>
      </c>
      <c r="G171">
        <v>1</v>
      </c>
      <c r="H171">
        <v>2</v>
      </c>
      <c r="I171" t="s">
        <v>402</v>
      </c>
      <c r="J171" t="s">
        <v>403</v>
      </c>
      <c r="K171" t="s">
        <v>404</v>
      </c>
      <c r="L171">
        <v>1367</v>
      </c>
      <c r="N171">
        <v>1011</v>
      </c>
      <c r="O171" t="s">
        <v>364</v>
      </c>
      <c r="P171" t="s">
        <v>364</v>
      </c>
      <c r="Q171">
        <v>1</v>
      </c>
      <c r="W171">
        <v>0</v>
      </c>
      <c r="X171">
        <v>-1300664830</v>
      </c>
      <c r="Y171">
        <v>0.03</v>
      </c>
      <c r="AA171">
        <v>0</v>
      </c>
      <c r="AB171">
        <v>112.36</v>
      </c>
      <c r="AC171">
        <v>11.6</v>
      </c>
      <c r="AD171">
        <v>0</v>
      </c>
      <c r="AE171">
        <v>0</v>
      </c>
      <c r="AF171">
        <v>112.36</v>
      </c>
      <c r="AG171">
        <v>11.6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0.03</v>
      </c>
      <c r="AV171">
        <v>0</v>
      </c>
      <c r="AW171">
        <v>2</v>
      </c>
      <c r="AX171">
        <v>55659016</v>
      </c>
      <c r="AY171">
        <v>1</v>
      </c>
      <c r="AZ171">
        <v>0</v>
      </c>
      <c r="BA171">
        <v>185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Y171*Source!I84</f>
        <v>0.06</v>
      </c>
      <c r="CY171">
        <f>AB171</f>
        <v>112.36</v>
      </c>
      <c r="CZ171">
        <f>AF171</f>
        <v>112.36</v>
      </c>
      <c r="DA171">
        <f>AJ171</f>
        <v>1</v>
      </c>
      <c r="DB171">
        <f t="shared" si="50"/>
        <v>3.37</v>
      </c>
      <c r="DC171">
        <f t="shared" si="51"/>
        <v>0.35</v>
      </c>
    </row>
    <row r="172" spans="1:107" ht="12.75">
      <c r="A172">
        <f>ROW(Source!A84)</f>
        <v>84</v>
      </c>
      <c r="B172">
        <v>55656218</v>
      </c>
      <c r="C172">
        <v>55659013</v>
      </c>
      <c r="D172">
        <v>53642567</v>
      </c>
      <c r="E172">
        <v>1</v>
      </c>
      <c r="F172">
        <v>1</v>
      </c>
      <c r="G172">
        <v>1</v>
      </c>
      <c r="H172">
        <v>3</v>
      </c>
      <c r="I172" t="s">
        <v>405</v>
      </c>
      <c r="J172" t="s">
        <v>406</v>
      </c>
      <c r="K172" t="s">
        <v>407</v>
      </c>
      <c r="L172">
        <v>1383</v>
      </c>
      <c r="N172">
        <v>1013</v>
      </c>
      <c r="O172" t="s">
        <v>408</v>
      </c>
      <c r="P172" t="s">
        <v>408</v>
      </c>
      <c r="Q172">
        <v>1</v>
      </c>
      <c r="W172">
        <v>0</v>
      </c>
      <c r="X172">
        <v>-180864722</v>
      </c>
      <c r="Y172">
        <v>0.69</v>
      </c>
      <c r="AA172">
        <v>0.4</v>
      </c>
      <c r="AB172">
        <v>0</v>
      </c>
      <c r="AC172">
        <v>0</v>
      </c>
      <c r="AD172">
        <v>0</v>
      </c>
      <c r="AE172">
        <v>0.4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0.69</v>
      </c>
      <c r="AV172">
        <v>0</v>
      </c>
      <c r="AW172">
        <v>2</v>
      </c>
      <c r="AX172">
        <v>55659017</v>
      </c>
      <c r="AY172">
        <v>1</v>
      </c>
      <c r="AZ172">
        <v>0</v>
      </c>
      <c r="BA172">
        <v>186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Y172*Source!I84</f>
        <v>1.38</v>
      </c>
      <c r="CY172">
        <f>AA172</f>
        <v>0.4</v>
      </c>
      <c r="CZ172">
        <f>AE172</f>
        <v>0.4</v>
      </c>
      <c r="DA172">
        <f>AI172</f>
        <v>1</v>
      </c>
      <c r="DB172">
        <f t="shared" si="50"/>
        <v>0.28</v>
      </c>
      <c r="DC172">
        <f t="shared" si="51"/>
        <v>0</v>
      </c>
    </row>
    <row r="173" spans="1:107" ht="12.75">
      <c r="A173">
        <f>ROW(Source!A84)</f>
        <v>84</v>
      </c>
      <c r="B173">
        <v>55656218</v>
      </c>
      <c r="C173">
        <v>55659013</v>
      </c>
      <c r="D173">
        <v>53634990</v>
      </c>
      <c r="E173">
        <v>70</v>
      </c>
      <c r="F173">
        <v>1</v>
      </c>
      <c r="G173">
        <v>1</v>
      </c>
      <c r="H173">
        <v>3</v>
      </c>
      <c r="I173" t="s">
        <v>409</v>
      </c>
      <c r="K173" t="s">
        <v>410</v>
      </c>
      <c r="L173">
        <v>1374</v>
      </c>
      <c r="N173">
        <v>1013</v>
      </c>
      <c r="O173" t="s">
        <v>411</v>
      </c>
      <c r="P173" t="s">
        <v>411</v>
      </c>
      <c r="Q173">
        <v>1</v>
      </c>
      <c r="W173">
        <v>0</v>
      </c>
      <c r="X173">
        <v>-1731369543</v>
      </c>
      <c r="Y173">
        <v>2.08</v>
      </c>
      <c r="AA173">
        <v>1</v>
      </c>
      <c r="AB173">
        <v>0</v>
      </c>
      <c r="AC173">
        <v>0</v>
      </c>
      <c r="AD173">
        <v>0</v>
      </c>
      <c r="AE173">
        <v>1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2.08</v>
      </c>
      <c r="AV173">
        <v>0</v>
      </c>
      <c r="AW173">
        <v>2</v>
      </c>
      <c r="AX173">
        <v>55659018</v>
      </c>
      <c r="AY173">
        <v>1</v>
      </c>
      <c r="AZ173">
        <v>0</v>
      </c>
      <c r="BA173">
        <v>187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Y173*Source!I84</f>
        <v>4.16</v>
      </c>
      <c r="CY173">
        <f>AA173</f>
        <v>1</v>
      </c>
      <c r="CZ173">
        <f>AE173</f>
        <v>1</v>
      </c>
      <c r="DA173">
        <f>AI173</f>
        <v>1</v>
      </c>
      <c r="DB173">
        <f t="shared" si="50"/>
        <v>2.08</v>
      </c>
      <c r="DC173">
        <f t="shared" si="51"/>
        <v>0</v>
      </c>
    </row>
    <row r="174" spans="1:107" ht="12.75">
      <c r="A174">
        <f>ROW(Source!A84)</f>
        <v>84</v>
      </c>
      <c r="B174">
        <v>55656218</v>
      </c>
      <c r="C174">
        <v>55659013</v>
      </c>
      <c r="D174">
        <v>0</v>
      </c>
      <c r="E174">
        <v>0</v>
      </c>
      <c r="F174">
        <v>1</v>
      </c>
      <c r="G174">
        <v>1</v>
      </c>
      <c r="H174">
        <v>3</v>
      </c>
      <c r="I174" t="s">
        <v>144</v>
      </c>
      <c r="K174" t="s">
        <v>476</v>
      </c>
      <c r="L174">
        <v>1429</v>
      </c>
      <c r="N174">
        <v>1013</v>
      </c>
      <c r="O174" t="s">
        <v>170</v>
      </c>
      <c r="P174" t="s">
        <v>170</v>
      </c>
      <c r="Q174">
        <v>1</v>
      </c>
      <c r="W174">
        <v>0</v>
      </c>
      <c r="X174">
        <v>1921063532</v>
      </c>
      <c r="Y174">
        <v>0.5</v>
      </c>
      <c r="AA174">
        <v>489550</v>
      </c>
      <c r="AB174">
        <v>0</v>
      </c>
      <c r="AC174">
        <v>0</v>
      </c>
      <c r="AD174">
        <v>0</v>
      </c>
      <c r="AE174">
        <v>489550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0</v>
      </c>
      <c r="AP174">
        <v>0</v>
      </c>
      <c r="AQ174">
        <v>0</v>
      </c>
      <c r="AR174">
        <v>0</v>
      </c>
      <c r="AT174">
        <v>0.5</v>
      </c>
      <c r="AV174">
        <v>0</v>
      </c>
      <c r="AW174">
        <v>1</v>
      </c>
      <c r="AX174">
        <v>-1</v>
      </c>
      <c r="AY174">
        <v>0</v>
      </c>
      <c r="AZ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Y174*Source!I84</f>
        <v>1</v>
      </c>
      <c r="CY174">
        <f>AA174</f>
        <v>489550</v>
      </c>
      <c r="CZ174">
        <f>AE174</f>
        <v>489550</v>
      </c>
      <c r="DA174">
        <f>AI174</f>
        <v>1</v>
      </c>
      <c r="DB174">
        <f t="shared" si="50"/>
        <v>244775</v>
      </c>
      <c r="DC174">
        <f t="shared" si="51"/>
        <v>0</v>
      </c>
    </row>
    <row r="175" spans="1:107" ht="12.75">
      <c r="A175">
        <f>ROW(Source!A84)</f>
        <v>84</v>
      </c>
      <c r="B175">
        <v>55656218</v>
      </c>
      <c r="C175">
        <v>55659013</v>
      </c>
      <c r="D175">
        <v>0</v>
      </c>
      <c r="E175">
        <v>0</v>
      </c>
      <c r="F175">
        <v>1</v>
      </c>
      <c r="G175">
        <v>1</v>
      </c>
      <c r="H175">
        <v>3</v>
      </c>
      <c r="I175" t="s">
        <v>144</v>
      </c>
      <c r="K175" t="s">
        <v>477</v>
      </c>
      <c r="L175">
        <v>1429</v>
      </c>
      <c r="N175">
        <v>1013</v>
      </c>
      <c r="O175" t="s">
        <v>170</v>
      </c>
      <c r="P175" t="s">
        <v>170</v>
      </c>
      <c r="Q175">
        <v>1</v>
      </c>
      <c r="W175">
        <v>0</v>
      </c>
      <c r="X175">
        <v>1590626601</v>
      </c>
      <c r="Y175">
        <v>0.5</v>
      </c>
      <c r="AA175">
        <v>469625</v>
      </c>
      <c r="AB175">
        <v>0</v>
      </c>
      <c r="AC175">
        <v>0</v>
      </c>
      <c r="AD175">
        <v>0</v>
      </c>
      <c r="AE175">
        <v>469625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T175">
        <v>0.5</v>
      </c>
      <c r="AV175">
        <v>0</v>
      </c>
      <c r="AW175">
        <v>1</v>
      </c>
      <c r="AX175">
        <v>-1</v>
      </c>
      <c r="AY175">
        <v>0</v>
      </c>
      <c r="AZ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Y175*Source!I84</f>
        <v>1</v>
      </c>
      <c r="CY175">
        <f>AA175</f>
        <v>469625</v>
      </c>
      <c r="CZ175">
        <f>AE175</f>
        <v>469625</v>
      </c>
      <c r="DA175">
        <f>AI175</f>
        <v>1</v>
      </c>
      <c r="DB175">
        <f t="shared" si="50"/>
        <v>234812.5</v>
      </c>
      <c r="DC175">
        <f t="shared" si="51"/>
        <v>0</v>
      </c>
    </row>
    <row r="176" spans="1:107" ht="12.75">
      <c r="A176">
        <f>ROW(Source!A85)</f>
        <v>85</v>
      </c>
      <c r="B176">
        <v>55657272</v>
      </c>
      <c r="C176">
        <v>55659013</v>
      </c>
      <c r="D176">
        <v>53630075</v>
      </c>
      <c r="E176">
        <v>70</v>
      </c>
      <c r="F176">
        <v>1</v>
      </c>
      <c r="G176">
        <v>1</v>
      </c>
      <c r="H176">
        <v>1</v>
      </c>
      <c r="I176" t="s">
        <v>400</v>
      </c>
      <c r="K176" t="s">
        <v>401</v>
      </c>
      <c r="L176">
        <v>1191</v>
      </c>
      <c r="N176">
        <v>1013</v>
      </c>
      <c r="O176" t="s">
        <v>358</v>
      </c>
      <c r="P176" t="s">
        <v>358</v>
      </c>
      <c r="Q176">
        <v>1</v>
      </c>
      <c r="W176">
        <v>0</v>
      </c>
      <c r="X176">
        <v>-112797078</v>
      </c>
      <c r="Y176">
        <v>11.58</v>
      </c>
      <c r="AA176">
        <v>0</v>
      </c>
      <c r="AB176">
        <v>0</v>
      </c>
      <c r="AC176">
        <v>0</v>
      </c>
      <c r="AD176">
        <v>334.94</v>
      </c>
      <c r="AE176">
        <v>0</v>
      </c>
      <c r="AF176">
        <v>0</v>
      </c>
      <c r="AG176">
        <v>0</v>
      </c>
      <c r="AH176">
        <v>8.97</v>
      </c>
      <c r="AI176">
        <v>1</v>
      </c>
      <c r="AJ176">
        <v>1</v>
      </c>
      <c r="AK176">
        <v>1</v>
      </c>
      <c r="AL176">
        <v>37.34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11.58</v>
      </c>
      <c r="AV176">
        <v>1</v>
      </c>
      <c r="AW176">
        <v>2</v>
      </c>
      <c r="AX176">
        <v>55659014</v>
      </c>
      <c r="AY176">
        <v>1</v>
      </c>
      <c r="AZ176">
        <v>0</v>
      </c>
      <c r="BA176">
        <v>188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Y176*Source!I85</f>
        <v>23.16</v>
      </c>
      <c r="CY176">
        <f>AD176</f>
        <v>334.94</v>
      </c>
      <c r="CZ176">
        <f>AH176</f>
        <v>8.97</v>
      </c>
      <c r="DA176">
        <f>AL176</f>
        <v>37.34</v>
      </c>
      <c r="DB176">
        <f t="shared" si="50"/>
        <v>103.87</v>
      </c>
      <c r="DC176">
        <f t="shared" si="51"/>
        <v>0</v>
      </c>
    </row>
    <row r="177" spans="1:107" ht="12.75">
      <c r="A177">
        <f>ROW(Source!A85)</f>
        <v>85</v>
      </c>
      <c r="B177">
        <v>55657272</v>
      </c>
      <c r="C177">
        <v>55659013</v>
      </c>
      <c r="D177">
        <v>53630257</v>
      </c>
      <c r="E177">
        <v>70</v>
      </c>
      <c r="F177">
        <v>1</v>
      </c>
      <c r="G177">
        <v>1</v>
      </c>
      <c r="H177">
        <v>1</v>
      </c>
      <c r="I177" t="s">
        <v>359</v>
      </c>
      <c r="K177" t="s">
        <v>360</v>
      </c>
      <c r="L177">
        <v>1191</v>
      </c>
      <c r="N177">
        <v>1013</v>
      </c>
      <c r="O177" t="s">
        <v>358</v>
      </c>
      <c r="P177" t="s">
        <v>358</v>
      </c>
      <c r="Q177">
        <v>1</v>
      </c>
      <c r="W177">
        <v>0</v>
      </c>
      <c r="X177">
        <v>-1417349443</v>
      </c>
      <c r="Y177">
        <v>0.03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37.34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0.03</v>
      </c>
      <c r="AV177">
        <v>2</v>
      </c>
      <c r="AW177">
        <v>2</v>
      </c>
      <c r="AX177">
        <v>55659015</v>
      </c>
      <c r="AY177">
        <v>1</v>
      </c>
      <c r="AZ177">
        <v>0</v>
      </c>
      <c r="BA177">
        <v>189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Y177*Source!I85</f>
        <v>0.06</v>
      </c>
      <c r="CY177">
        <f>AD177</f>
        <v>0</v>
      </c>
      <c r="CZ177">
        <f>AH177</f>
        <v>0</v>
      </c>
      <c r="DA177">
        <f>AL177</f>
        <v>1</v>
      </c>
      <c r="DB177">
        <f t="shared" si="50"/>
        <v>0</v>
      </c>
      <c r="DC177">
        <f t="shared" si="51"/>
        <v>0</v>
      </c>
    </row>
    <row r="178" spans="1:107" ht="12.75">
      <c r="A178">
        <f>ROW(Source!A85)</f>
        <v>85</v>
      </c>
      <c r="B178">
        <v>55657272</v>
      </c>
      <c r="C178">
        <v>55659013</v>
      </c>
      <c r="D178">
        <v>53792062</v>
      </c>
      <c r="E178">
        <v>1</v>
      </c>
      <c r="F178">
        <v>1</v>
      </c>
      <c r="G178">
        <v>1</v>
      </c>
      <c r="H178">
        <v>2</v>
      </c>
      <c r="I178" t="s">
        <v>402</v>
      </c>
      <c r="J178" t="s">
        <v>403</v>
      </c>
      <c r="K178" t="s">
        <v>404</v>
      </c>
      <c r="L178">
        <v>1367</v>
      </c>
      <c r="N178">
        <v>1011</v>
      </c>
      <c r="O178" t="s">
        <v>364</v>
      </c>
      <c r="P178" t="s">
        <v>364</v>
      </c>
      <c r="Q178">
        <v>1</v>
      </c>
      <c r="W178">
        <v>0</v>
      </c>
      <c r="X178">
        <v>-1300664830</v>
      </c>
      <c r="Y178">
        <v>0.03</v>
      </c>
      <c r="AA178">
        <v>0</v>
      </c>
      <c r="AB178">
        <v>1487.65</v>
      </c>
      <c r="AC178">
        <v>433.14</v>
      </c>
      <c r="AD178">
        <v>0</v>
      </c>
      <c r="AE178">
        <v>0</v>
      </c>
      <c r="AF178">
        <v>112.36</v>
      </c>
      <c r="AG178">
        <v>11.6</v>
      </c>
      <c r="AH178">
        <v>0</v>
      </c>
      <c r="AI178">
        <v>1</v>
      </c>
      <c r="AJ178">
        <v>13.24</v>
      </c>
      <c r="AK178">
        <v>37.34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0.03</v>
      </c>
      <c r="AV178">
        <v>0</v>
      </c>
      <c r="AW178">
        <v>2</v>
      </c>
      <c r="AX178">
        <v>55659016</v>
      </c>
      <c r="AY178">
        <v>1</v>
      </c>
      <c r="AZ178">
        <v>0</v>
      </c>
      <c r="BA178">
        <v>190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Y178*Source!I85</f>
        <v>0.06</v>
      </c>
      <c r="CY178">
        <f>AB178</f>
        <v>1487.65</v>
      </c>
      <c r="CZ178">
        <f>AF178</f>
        <v>112.36</v>
      </c>
      <c r="DA178">
        <f>AJ178</f>
        <v>13.24</v>
      </c>
      <c r="DB178">
        <f t="shared" si="50"/>
        <v>3.37</v>
      </c>
      <c r="DC178">
        <f t="shared" si="51"/>
        <v>0.35</v>
      </c>
    </row>
    <row r="179" spans="1:107" ht="12.75">
      <c r="A179">
        <f>ROW(Source!A85)</f>
        <v>85</v>
      </c>
      <c r="B179">
        <v>55657272</v>
      </c>
      <c r="C179">
        <v>55659013</v>
      </c>
      <c r="D179">
        <v>53642567</v>
      </c>
      <c r="E179">
        <v>1</v>
      </c>
      <c r="F179">
        <v>1</v>
      </c>
      <c r="G179">
        <v>1</v>
      </c>
      <c r="H179">
        <v>3</v>
      </c>
      <c r="I179" t="s">
        <v>405</v>
      </c>
      <c r="J179" t="s">
        <v>406</v>
      </c>
      <c r="K179" t="s">
        <v>407</v>
      </c>
      <c r="L179">
        <v>1383</v>
      </c>
      <c r="N179">
        <v>1013</v>
      </c>
      <c r="O179" t="s">
        <v>408</v>
      </c>
      <c r="P179" t="s">
        <v>408</v>
      </c>
      <c r="Q179">
        <v>1</v>
      </c>
      <c r="W179">
        <v>0</v>
      </c>
      <c r="X179">
        <v>-180864722</v>
      </c>
      <c r="Y179">
        <v>0.69</v>
      </c>
      <c r="AA179">
        <v>2.69</v>
      </c>
      <c r="AB179">
        <v>0</v>
      </c>
      <c r="AC179">
        <v>0</v>
      </c>
      <c r="AD179">
        <v>0</v>
      </c>
      <c r="AE179">
        <v>0.4</v>
      </c>
      <c r="AF179">
        <v>0</v>
      </c>
      <c r="AG179">
        <v>0</v>
      </c>
      <c r="AH179">
        <v>0</v>
      </c>
      <c r="AI179">
        <v>6.72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0.69</v>
      </c>
      <c r="AV179">
        <v>0</v>
      </c>
      <c r="AW179">
        <v>2</v>
      </c>
      <c r="AX179">
        <v>55659017</v>
      </c>
      <c r="AY179">
        <v>1</v>
      </c>
      <c r="AZ179">
        <v>0</v>
      </c>
      <c r="BA179">
        <v>191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Y179*Source!I85</f>
        <v>1.38</v>
      </c>
      <c r="CY179">
        <f>AA179</f>
        <v>2.69</v>
      </c>
      <c r="CZ179">
        <f>AE179</f>
        <v>0.4</v>
      </c>
      <c r="DA179">
        <f>AI179</f>
        <v>6.72</v>
      </c>
      <c r="DB179">
        <f t="shared" si="50"/>
        <v>0.28</v>
      </c>
      <c r="DC179">
        <f t="shared" si="51"/>
        <v>0</v>
      </c>
    </row>
    <row r="180" spans="1:107" ht="12.75">
      <c r="A180">
        <f>ROW(Source!A85)</f>
        <v>85</v>
      </c>
      <c r="B180">
        <v>55657272</v>
      </c>
      <c r="C180">
        <v>55659013</v>
      </c>
      <c r="D180">
        <v>53634990</v>
      </c>
      <c r="E180">
        <v>70</v>
      </c>
      <c r="F180">
        <v>1</v>
      </c>
      <c r="G180">
        <v>1</v>
      </c>
      <c r="H180">
        <v>3</v>
      </c>
      <c r="I180" t="s">
        <v>409</v>
      </c>
      <c r="K180" t="s">
        <v>410</v>
      </c>
      <c r="L180">
        <v>1374</v>
      </c>
      <c r="N180">
        <v>1013</v>
      </c>
      <c r="O180" t="s">
        <v>411</v>
      </c>
      <c r="P180" t="s">
        <v>411</v>
      </c>
      <c r="Q180">
        <v>1</v>
      </c>
      <c r="W180">
        <v>0</v>
      </c>
      <c r="X180">
        <v>-1731369543</v>
      </c>
      <c r="Y180">
        <v>2.08</v>
      </c>
      <c r="AA180">
        <v>1</v>
      </c>
      <c r="AB180">
        <v>0</v>
      </c>
      <c r="AC180">
        <v>0</v>
      </c>
      <c r="AD180">
        <v>0</v>
      </c>
      <c r="AE180">
        <v>1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2.08</v>
      </c>
      <c r="AV180">
        <v>0</v>
      </c>
      <c r="AW180">
        <v>2</v>
      </c>
      <c r="AX180">
        <v>55659018</v>
      </c>
      <c r="AY180">
        <v>1</v>
      </c>
      <c r="AZ180">
        <v>0</v>
      </c>
      <c r="BA180">
        <v>192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Y180*Source!I85</f>
        <v>4.16</v>
      </c>
      <c r="CY180">
        <f>AA180</f>
        <v>1</v>
      </c>
      <c r="CZ180">
        <f>AE180</f>
        <v>1</v>
      </c>
      <c r="DA180">
        <f>AI180</f>
        <v>1</v>
      </c>
      <c r="DB180">
        <f t="shared" si="50"/>
        <v>2.08</v>
      </c>
      <c r="DC180">
        <f t="shared" si="51"/>
        <v>0</v>
      </c>
    </row>
    <row r="181" spans="1:107" ht="12.75">
      <c r="A181">
        <f>ROW(Source!A85)</f>
        <v>85</v>
      </c>
      <c r="B181">
        <v>55657272</v>
      </c>
      <c r="C181">
        <v>55659013</v>
      </c>
      <c r="D181">
        <v>0</v>
      </c>
      <c r="E181">
        <v>0</v>
      </c>
      <c r="F181">
        <v>1</v>
      </c>
      <c r="G181">
        <v>1</v>
      </c>
      <c r="H181">
        <v>3</v>
      </c>
      <c r="I181" t="s">
        <v>144</v>
      </c>
      <c r="K181" t="s">
        <v>476</v>
      </c>
      <c r="L181">
        <v>1429</v>
      </c>
      <c r="N181">
        <v>1013</v>
      </c>
      <c r="O181" t="s">
        <v>170</v>
      </c>
      <c r="P181" t="s">
        <v>170</v>
      </c>
      <c r="Q181">
        <v>1</v>
      </c>
      <c r="W181">
        <v>0</v>
      </c>
      <c r="X181">
        <v>1921063532</v>
      </c>
      <c r="Y181">
        <v>0.5</v>
      </c>
      <c r="AA181">
        <v>489550</v>
      </c>
      <c r="AB181">
        <v>0</v>
      </c>
      <c r="AC181">
        <v>0</v>
      </c>
      <c r="AD181">
        <v>0</v>
      </c>
      <c r="AE181">
        <v>489550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0</v>
      </c>
      <c r="AP181">
        <v>0</v>
      </c>
      <c r="AQ181">
        <v>0</v>
      </c>
      <c r="AR181">
        <v>0</v>
      </c>
      <c r="AT181">
        <v>0.5</v>
      </c>
      <c r="AV181">
        <v>0</v>
      </c>
      <c r="AW181">
        <v>1</v>
      </c>
      <c r="AX181">
        <v>-1</v>
      </c>
      <c r="AY181">
        <v>0</v>
      </c>
      <c r="AZ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Y181*Source!I85</f>
        <v>1</v>
      </c>
      <c r="CY181">
        <f>AA181</f>
        <v>489550</v>
      </c>
      <c r="CZ181">
        <f>AE181</f>
        <v>489550</v>
      </c>
      <c r="DA181">
        <f>AI181</f>
        <v>1</v>
      </c>
      <c r="DB181">
        <f t="shared" si="50"/>
        <v>244775</v>
      </c>
      <c r="DC181">
        <f t="shared" si="51"/>
        <v>0</v>
      </c>
    </row>
    <row r="182" spans="1:107" ht="12.75">
      <c r="A182">
        <f>ROW(Source!A85)</f>
        <v>85</v>
      </c>
      <c r="B182">
        <v>55657272</v>
      </c>
      <c r="C182">
        <v>55659013</v>
      </c>
      <c r="D182">
        <v>0</v>
      </c>
      <c r="E182">
        <v>0</v>
      </c>
      <c r="F182">
        <v>1</v>
      </c>
      <c r="G182">
        <v>1</v>
      </c>
      <c r="H182">
        <v>3</v>
      </c>
      <c r="I182" t="s">
        <v>144</v>
      </c>
      <c r="K182" t="s">
        <v>477</v>
      </c>
      <c r="L182">
        <v>1429</v>
      </c>
      <c r="N182">
        <v>1013</v>
      </c>
      <c r="O182" t="s">
        <v>170</v>
      </c>
      <c r="P182" t="s">
        <v>170</v>
      </c>
      <c r="Q182">
        <v>1</v>
      </c>
      <c r="W182">
        <v>0</v>
      </c>
      <c r="X182">
        <v>1590626601</v>
      </c>
      <c r="Y182">
        <v>0.5</v>
      </c>
      <c r="AA182">
        <v>469625</v>
      </c>
      <c r="AB182">
        <v>0</v>
      </c>
      <c r="AC182">
        <v>0</v>
      </c>
      <c r="AD182">
        <v>0</v>
      </c>
      <c r="AE182">
        <v>469625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T182">
        <v>0.5</v>
      </c>
      <c r="AV182">
        <v>0</v>
      </c>
      <c r="AW182">
        <v>1</v>
      </c>
      <c r="AX182">
        <v>-1</v>
      </c>
      <c r="AY182">
        <v>0</v>
      </c>
      <c r="AZ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Y182*Source!I85</f>
        <v>1</v>
      </c>
      <c r="CY182">
        <f>AA182</f>
        <v>469625</v>
      </c>
      <c r="CZ182">
        <f>AE182</f>
        <v>469625</v>
      </c>
      <c r="DA182">
        <f>AI182</f>
        <v>1</v>
      </c>
      <c r="DB182">
        <f t="shared" si="50"/>
        <v>234812.5</v>
      </c>
      <c r="DC182">
        <f t="shared" si="51"/>
        <v>0</v>
      </c>
    </row>
    <row r="183" spans="1:107" ht="12.75">
      <c r="A183">
        <f>ROW(Source!A90)</f>
        <v>90</v>
      </c>
      <c r="B183">
        <v>55656218</v>
      </c>
      <c r="C183">
        <v>55658714</v>
      </c>
      <c r="D183">
        <v>53630109</v>
      </c>
      <c r="E183">
        <v>70</v>
      </c>
      <c r="F183">
        <v>1</v>
      </c>
      <c r="G183">
        <v>1</v>
      </c>
      <c r="H183">
        <v>1</v>
      </c>
      <c r="I183" t="s">
        <v>387</v>
      </c>
      <c r="K183" t="s">
        <v>388</v>
      </c>
      <c r="L183">
        <v>1191</v>
      </c>
      <c r="N183">
        <v>1013</v>
      </c>
      <c r="O183" t="s">
        <v>358</v>
      </c>
      <c r="P183" t="s">
        <v>358</v>
      </c>
      <c r="Q183">
        <v>1</v>
      </c>
      <c r="W183">
        <v>0</v>
      </c>
      <c r="X183">
        <v>-1111239348</v>
      </c>
      <c r="Y183">
        <v>3.28</v>
      </c>
      <c r="AA183">
        <v>0</v>
      </c>
      <c r="AB183">
        <v>0</v>
      </c>
      <c r="AC183">
        <v>0</v>
      </c>
      <c r="AD183">
        <v>9.62</v>
      </c>
      <c r="AE183">
        <v>0</v>
      </c>
      <c r="AF183">
        <v>0</v>
      </c>
      <c r="AG183">
        <v>0</v>
      </c>
      <c r="AH183">
        <v>9.62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3.28</v>
      </c>
      <c r="AV183">
        <v>1</v>
      </c>
      <c r="AW183">
        <v>2</v>
      </c>
      <c r="AX183">
        <v>55658715</v>
      </c>
      <c r="AY183">
        <v>1</v>
      </c>
      <c r="AZ183">
        <v>0</v>
      </c>
      <c r="BA183">
        <v>193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Y183*Source!I90</f>
        <v>0.45264</v>
      </c>
      <c r="CY183">
        <f>AD183</f>
        <v>9.62</v>
      </c>
      <c r="CZ183">
        <f>AH183</f>
        <v>9.62</v>
      </c>
      <c r="DA183">
        <f>AL183</f>
        <v>1</v>
      </c>
      <c r="DB183">
        <f t="shared" si="50"/>
        <v>31.55</v>
      </c>
      <c r="DC183">
        <f t="shared" si="51"/>
        <v>0</v>
      </c>
    </row>
    <row r="184" spans="1:107" ht="12.75">
      <c r="A184">
        <f>ROW(Source!A90)</f>
        <v>90</v>
      </c>
      <c r="B184">
        <v>55656218</v>
      </c>
      <c r="C184">
        <v>55658714</v>
      </c>
      <c r="D184">
        <v>53630257</v>
      </c>
      <c r="E184">
        <v>70</v>
      </c>
      <c r="F184">
        <v>1</v>
      </c>
      <c r="G184">
        <v>1</v>
      </c>
      <c r="H184">
        <v>1</v>
      </c>
      <c r="I184" t="s">
        <v>359</v>
      </c>
      <c r="K184" t="s">
        <v>360</v>
      </c>
      <c r="L184">
        <v>1191</v>
      </c>
      <c r="N184">
        <v>1013</v>
      </c>
      <c r="O184" t="s">
        <v>358</v>
      </c>
      <c r="P184" t="s">
        <v>358</v>
      </c>
      <c r="Q184">
        <v>1</v>
      </c>
      <c r="W184">
        <v>0</v>
      </c>
      <c r="X184">
        <v>-1417349443</v>
      </c>
      <c r="Y184">
        <v>0.35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0.35</v>
      </c>
      <c r="AV184">
        <v>2</v>
      </c>
      <c r="AW184">
        <v>2</v>
      </c>
      <c r="AX184">
        <v>55658716</v>
      </c>
      <c r="AY184">
        <v>1</v>
      </c>
      <c r="AZ184">
        <v>0</v>
      </c>
      <c r="BA184">
        <v>194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Y184*Source!I90</f>
        <v>0.0483</v>
      </c>
      <c r="CY184">
        <f>AD184</f>
        <v>0</v>
      </c>
      <c r="CZ184">
        <f>AH184</f>
        <v>0</v>
      </c>
      <c r="DA184">
        <f>AL184</f>
        <v>1</v>
      </c>
      <c r="DB184">
        <f t="shared" si="50"/>
        <v>0</v>
      </c>
      <c r="DC184">
        <f t="shared" si="51"/>
        <v>0</v>
      </c>
    </row>
    <row r="185" spans="1:107" ht="12.75">
      <c r="A185">
        <f>ROW(Source!A90)</f>
        <v>90</v>
      </c>
      <c r="B185">
        <v>55656218</v>
      </c>
      <c r="C185">
        <v>55658714</v>
      </c>
      <c r="D185">
        <v>53792927</v>
      </c>
      <c r="E185">
        <v>1</v>
      </c>
      <c r="F185">
        <v>1</v>
      </c>
      <c r="G185">
        <v>1</v>
      </c>
      <c r="H185">
        <v>2</v>
      </c>
      <c r="I185" t="s">
        <v>368</v>
      </c>
      <c r="J185" t="s">
        <v>369</v>
      </c>
      <c r="K185" t="s">
        <v>370</v>
      </c>
      <c r="L185">
        <v>1367</v>
      </c>
      <c r="N185">
        <v>1011</v>
      </c>
      <c r="O185" t="s">
        <v>364</v>
      </c>
      <c r="P185" t="s">
        <v>364</v>
      </c>
      <c r="Q185">
        <v>1</v>
      </c>
      <c r="W185">
        <v>0</v>
      </c>
      <c r="X185">
        <v>509054691</v>
      </c>
      <c r="Y185">
        <v>0.35</v>
      </c>
      <c r="AA185">
        <v>0</v>
      </c>
      <c r="AB185">
        <v>65.71</v>
      </c>
      <c r="AC185">
        <v>11.6</v>
      </c>
      <c r="AD185">
        <v>0</v>
      </c>
      <c r="AE185">
        <v>0</v>
      </c>
      <c r="AF185">
        <v>65.71</v>
      </c>
      <c r="AG185">
        <v>11.6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0.35</v>
      </c>
      <c r="AV185">
        <v>0</v>
      </c>
      <c r="AW185">
        <v>2</v>
      </c>
      <c r="AX185">
        <v>55658717</v>
      </c>
      <c r="AY185">
        <v>1</v>
      </c>
      <c r="AZ185">
        <v>0</v>
      </c>
      <c r="BA185">
        <v>195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Y185*Source!I90</f>
        <v>0.0483</v>
      </c>
      <c r="CY185">
        <f>AB185</f>
        <v>65.71</v>
      </c>
      <c r="CZ185">
        <f>AF185</f>
        <v>65.71</v>
      </c>
      <c r="DA185">
        <f>AJ185</f>
        <v>1</v>
      </c>
      <c r="DB185">
        <f t="shared" si="50"/>
        <v>23</v>
      </c>
      <c r="DC185">
        <f t="shared" si="51"/>
        <v>4.06</v>
      </c>
    </row>
    <row r="186" spans="1:107" ht="12.75">
      <c r="A186">
        <f>ROW(Source!A90)</f>
        <v>90</v>
      </c>
      <c r="B186">
        <v>55656218</v>
      </c>
      <c r="C186">
        <v>55658714</v>
      </c>
      <c r="D186">
        <v>53793158</v>
      </c>
      <c r="E186">
        <v>1</v>
      </c>
      <c r="F186">
        <v>1</v>
      </c>
      <c r="G186">
        <v>1</v>
      </c>
      <c r="H186">
        <v>2</v>
      </c>
      <c r="I186" t="s">
        <v>412</v>
      </c>
      <c r="J186" t="s">
        <v>413</v>
      </c>
      <c r="K186" t="s">
        <v>414</v>
      </c>
      <c r="L186">
        <v>1367</v>
      </c>
      <c r="N186">
        <v>1011</v>
      </c>
      <c r="O186" t="s">
        <v>364</v>
      </c>
      <c r="P186" t="s">
        <v>364</v>
      </c>
      <c r="Q186">
        <v>1</v>
      </c>
      <c r="W186">
        <v>0</v>
      </c>
      <c r="X186">
        <v>-727905792</v>
      </c>
      <c r="Y186">
        <v>2.35</v>
      </c>
      <c r="AA186">
        <v>0</v>
      </c>
      <c r="AB186">
        <v>32.5</v>
      </c>
      <c r="AC186">
        <v>0</v>
      </c>
      <c r="AD186">
        <v>0</v>
      </c>
      <c r="AE186">
        <v>0</v>
      </c>
      <c r="AF186">
        <v>32.5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2.35</v>
      </c>
      <c r="AV186">
        <v>0</v>
      </c>
      <c r="AW186">
        <v>2</v>
      </c>
      <c r="AX186">
        <v>55658718</v>
      </c>
      <c r="AY186">
        <v>1</v>
      </c>
      <c r="AZ186">
        <v>0</v>
      </c>
      <c r="BA186">
        <v>196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Y186*Source!I90</f>
        <v>0.32430000000000003</v>
      </c>
      <c r="CY186">
        <f>AB186</f>
        <v>32.5</v>
      </c>
      <c r="CZ186">
        <f>AF186</f>
        <v>32.5</v>
      </c>
      <c r="DA186">
        <f>AJ186</f>
        <v>1</v>
      </c>
      <c r="DB186">
        <f t="shared" si="50"/>
        <v>76.38</v>
      </c>
      <c r="DC186">
        <f t="shared" si="51"/>
        <v>0</v>
      </c>
    </row>
    <row r="187" spans="1:107" ht="12.75">
      <c r="A187">
        <f>ROW(Source!A90)</f>
        <v>90</v>
      </c>
      <c r="B187">
        <v>55656218</v>
      </c>
      <c r="C187">
        <v>55658714</v>
      </c>
      <c r="D187">
        <v>53642783</v>
      </c>
      <c r="E187">
        <v>1</v>
      </c>
      <c r="F187">
        <v>1</v>
      </c>
      <c r="G187">
        <v>1</v>
      </c>
      <c r="H187">
        <v>3</v>
      </c>
      <c r="I187" t="s">
        <v>177</v>
      </c>
      <c r="J187" t="s">
        <v>179</v>
      </c>
      <c r="K187" t="s">
        <v>178</v>
      </c>
      <c r="L187">
        <v>1346</v>
      </c>
      <c r="N187">
        <v>1009</v>
      </c>
      <c r="O187" t="s">
        <v>51</v>
      </c>
      <c r="P187" t="s">
        <v>51</v>
      </c>
      <c r="Q187">
        <v>1</v>
      </c>
      <c r="W187">
        <v>0</v>
      </c>
      <c r="X187">
        <v>624972744</v>
      </c>
      <c r="Y187">
        <v>38.043478</v>
      </c>
      <c r="AA187">
        <v>31.08</v>
      </c>
      <c r="AB187">
        <v>0</v>
      </c>
      <c r="AC187">
        <v>0</v>
      </c>
      <c r="AD187">
        <v>0</v>
      </c>
      <c r="AE187">
        <v>31.08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T187">
        <v>38.043478</v>
      </c>
      <c r="AV187">
        <v>0</v>
      </c>
      <c r="AW187">
        <v>1</v>
      </c>
      <c r="AX187">
        <v>-1</v>
      </c>
      <c r="AY187">
        <v>0</v>
      </c>
      <c r="AZ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Y187*Source!I90</f>
        <v>5.249999964000001</v>
      </c>
      <c r="CY187">
        <f>AA187</f>
        <v>31.08</v>
      </c>
      <c r="CZ187">
        <f>AE187</f>
        <v>31.08</v>
      </c>
      <c r="DA187">
        <f>AI187</f>
        <v>1</v>
      </c>
      <c r="DB187">
        <f t="shared" si="50"/>
        <v>1182.39</v>
      </c>
      <c r="DC187">
        <f t="shared" si="51"/>
        <v>0</v>
      </c>
    </row>
    <row r="188" spans="1:107" ht="12.75">
      <c r="A188">
        <f>ROW(Source!A91)</f>
        <v>91</v>
      </c>
      <c r="B188">
        <v>55657272</v>
      </c>
      <c r="C188">
        <v>55658714</v>
      </c>
      <c r="D188">
        <v>53630109</v>
      </c>
      <c r="E188">
        <v>70</v>
      </c>
      <c r="F188">
        <v>1</v>
      </c>
      <c r="G188">
        <v>1</v>
      </c>
      <c r="H188">
        <v>1</v>
      </c>
      <c r="I188" t="s">
        <v>387</v>
      </c>
      <c r="K188" t="s">
        <v>388</v>
      </c>
      <c r="L188">
        <v>1191</v>
      </c>
      <c r="N188">
        <v>1013</v>
      </c>
      <c r="O188" t="s">
        <v>358</v>
      </c>
      <c r="P188" t="s">
        <v>358</v>
      </c>
      <c r="Q188">
        <v>1</v>
      </c>
      <c r="W188">
        <v>0</v>
      </c>
      <c r="X188">
        <v>-1111239348</v>
      </c>
      <c r="Y188">
        <v>3.28</v>
      </c>
      <c r="AA188">
        <v>0</v>
      </c>
      <c r="AB188">
        <v>0</v>
      </c>
      <c r="AC188">
        <v>0</v>
      </c>
      <c r="AD188">
        <v>359.21</v>
      </c>
      <c r="AE188">
        <v>0</v>
      </c>
      <c r="AF188">
        <v>0</v>
      </c>
      <c r="AG188">
        <v>0</v>
      </c>
      <c r="AH188">
        <v>9.62</v>
      </c>
      <c r="AI188">
        <v>1</v>
      </c>
      <c r="AJ188">
        <v>1</v>
      </c>
      <c r="AK188">
        <v>1</v>
      </c>
      <c r="AL188">
        <v>37.34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3.28</v>
      </c>
      <c r="AV188">
        <v>1</v>
      </c>
      <c r="AW188">
        <v>2</v>
      </c>
      <c r="AX188">
        <v>55658715</v>
      </c>
      <c r="AY188">
        <v>1</v>
      </c>
      <c r="AZ188">
        <v>0</v>
      </c>
      <c r="BA188">
        <v>198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Y188*Source!I91</f>
        <v>0.45264</v>
      </c>
      <c r="CY188">
        <f>AD188</f>
        <v>359.21</v>
      </c>
      <c r="CZ188">
        <f>AH188</f>
        <v>9.62</v>
      </c>
      <c r="DA188">
        <f>AL188</f>
        <v>37.34</v>
      </c>
      <c r="DB188">
        <f t="shared" si="50"/>
        <v>31.55</v>
      </c>
      <c r="DC188">
        <f t="shared" si="51"/>
        <v>0</v>
      </c>
    </row>
    <row r="189" spans="1:107" ht="12.75">
      <c r="A189">
        <f>ROW(Source!A91)</f>
        <v>91</v>
      </c>
      <c r="B189">
        <v>55657272</v>
      </c>
      <c r="C189">
        <v>55658714</v>
      </c>
      <c r="D189">
        <v>53630257</v>
      </c>
      <c r="E189">
        <v>70</v>
      </c>
      <c r="F189">
        <v>1</v>
      </c>
      <c r="G189">
        <v>1</v>
      </c>
      <c r="H189">
        <v>1</v>
      </c>
      <c r="I189" t="s">
        <v>359</v>
      </c>
      <c r="K189" t="s">
        <v>360</v>
      </c>
      <c r="L189">
        <v>1191</v>
      </c>
      <c r="N189">
        <v>1013</v>
      </c>
      <c r="O189" t="s">
        <v>358</v>
      </c>
      <c r="P189" t="s">
        <v>358</v>
      </c>
      <c r="Q189">
        <v>1</v>
      </c>
      <c r="W189">
        <v>0</v>
      </c>
      <c r="X189">
        <v>-1417349443</v>
      </c>
      <c r="Y189">
        <v>0.35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37.34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0.35</v>
      </c>
      <c r="AV189">
        <v>2</v>
      </c>
      <c r="AW189">
        <v>2</v>
      </c>
      <c r="AX189">
        <v>55658716</v>
      </c>
      <c r="AY189">
        <v>1</v>
      </c>
      <c r="AZ189">
        <v>0</v>
      </c>
      <c r="BA189">
        <v>199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Y189*Source!I91</f>
        <v>0.0483</v>
      </c>
      <c r="CY189">
        <f>AD189</f>
        <v>0</v>
      </c>
      <c r="CZ189">
        <f>AH189</f>
        <v>0</v>
      </c>
      <c r="DA189">
        <f>AL189</f>
        <v>1</v>
      </c>
      <c r="DB189">
        <f t="shared" si="50"/>
        <v>0</v>
      </c>
      <c r="DC189">
        <f t="shared" si="51"/>
        <v>0</v>
      </c>
    </row>
    <row r="190" spans="1:107" ht="12.75">
      <c r="A190">
        <f>ROW(Source!A91)</f>
        <v>91</v>
      </c>
      <c r="B190">
        <v>55657272</v>
      </c>
      <c r="C190">
        <v>55658714</v>
      </c>
      <c r="D190">
        <v>53792927</v>
      </c>
      <c r="E190">
        <v>1</v>
      </c>
      <c r="F190">
        <v>1</v>
      </c>
      <c r="G190">
        <v>1</v>
      </c>
      <c r="H190">
        <v>2</v>
      </c>
      <c r="I190" t="s">
        <v>368</v>
      </c>
      <c r="J190" t="s">
        <v>369</v>
      </c>
      <c r="K190" t="s">
        <v>370</v>
      </c>
      <c r="L190">
        <v>1367</v>
      </c>
      <c r="N190">
        <v>1011</v>
      </c>
      <c r="O190" t="s">
        <v>364</v>
      </c>
      <c r="P190" t="s">
        <v>364</v>
      </c>
      <c r="Q190">
        <v>1</v>
      </c>
      <c r="W190">
        <v>0</v>
      </c>
      <c r="X190">
        <v>509054691</v>
      </c>
      <c r="Y190">
        <v>0.35</v>
      </c>
      <c r="AA190">
        <v>0</v>
      </c>
      <c r="AB190">
        <v>870</v>
      </c>
      <c r="AC190">
        <v>433.14</v>
      </c>
      <c r="AD190">
        <v>0</v>
      </c>
      <c r="AE190">
        <v>0</v>
      </c>
      <c r="AF190">
        <v>65.71</v>
      </c>
      <c r="AG190">
        <v>11.6</v>
      </c>
      <c r="AH190">
        <v>0</v>
      </c>
      <c r="AI190">
        <v>1</v>
      </c>
      <c r="AJ190">
        <v>13.24</v>
      </c>
      <c r="AK190">
        <v>37.34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0.35</v>
      </c>
      <c r="AV190">
        <v>0</v>
      </c>
      <c r="AW190">
        <v>2</v>
      </c>
      <c r="AX190">
        <v>55658717</v>
      </c>
      <c r="AY190">
        <v>1</v>
      </c>
      <c r="AZ190">
        <v>0</v>
      </c>
      <c r="BA190">
        <v>200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Y190*Source!I91</f>
        <v>0.0483</v>
      </c>
      <c r="CY190">
        <f>AB190</f>
        <v>870</v>
      </c>
      <c r="CZ190">
        <f>AF190</f>
        <v>65.71</v>
      </c>
      <c r="DA190">
        <f>AJ190</f>
        <v>13.24</v>
      </c>
      <c r="DB190">
        <f t="shared" si="50"/>
        <v>23</v>
      </c>
      <c r="DC190">
        <f t="shared" si="51"/>
        <v>4.06</v>
      </c>
    </row>
    <row r="191" spans="1:107" ht="12.75">
      <c r="A191">
        <f>ROW(Source!A91)</f>
        <v>91</v>
      </c>
      <c r="B191">
        <v>55657272</v>
      </c>
      <c r="C191">
        <v>55658714</v>
      </c>
      <c r="D191">
        <v>53793158</v>
      </c>
      <c r="E191">
        <v>1</v>
      </c>
      <c r="F191">
        <v>1</v>
      </c>
      <c r="G191">
        <v>1</v>
      </c>
      <c r="H191">
        <v>2</v>
      </c>
      <c r="I191" t="s">
        <v>412</v>
      </c>
      <c r="J191" t="s">
        <v>413</v>
      </c>
      <c r="K191" t="s">
        <v>414</v>
      </c>
      <c r="L191">
        <v>1367</v>
      </c>
      <c r="N191">
        <v>1011</v>
      </c>
      <c r="O191" t="s">
        <v>364</v>
      </c>
      <c r="P191" t="s">
        <v>364</v>
      </c>
      <c r="Q191">
        <v>1</v>
      </c>
      <c r="W191">
        <v>0</v>
      </c>
      <c r="X191">
        <v>-727905792</v>
      </c>
      <c r="Y191">
        <v>2.35</v>
      </c>
      <c r="AA191">
        <v>0</v>
      </c>
      <c r="AB191">
        <v>430.3</v>
      </c>
      <c r="AC191">
        <v>0</v>
      </c>
      <c r="AD191">
        <v>0</v>
      </c>
      <c r="AE191">
        <v>0</v>
      </c>
      <c r="AF191">
        <v>32.5</v>
      </c>
      <c r="AG191">
        <v>0</v>
      </c>
      <c r="AH191">
        <v>0</v>
      </c>
      <c r="AI191">
        <v>1</v>
      </c>
      <c r="AJ191">
        <v>13.24</v>
      </c>
      <c r="AK191">
        <v>37.34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2.35</v>
      </c>
      <c r="AV191">
        <v>0</v>
      </c>
      <c r="AW191">
        <v>2</v>
      </c>
      <c r="AX191">
        <v>55658718</v>
      </c>
      <c r="AY191">
        <v>1</v>
      </c>
      <c r="AZ191">
        <v>0</v>
      </c>
      <c r="BA191">
        <v>201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Y191*Source!I91</f>
        <v>0.32430000000000003</v>
      </c>
      <c r="CY191">
        <f>AB191</f>
        <v>430.3</v>
      </c>
      <c r="CZ191">
        <f>AF191</f>
        <v>32.5</v>
      </c>
      <c r="DA191">
        <f>AJ191</f>
        <v>13.24</v>
      </c>
      <c r="DB191">
        <f t="shared" si="50"/>
        <v>76.38</v>
      </c>
      <c r="DC191">
        <f t="shared" si="51"/>
        <v>0</v>
      </c>
    </row>
    <row r="192" spans="1:107" ht="12.75">
      <c r="A192">
        <f>ROW(Source!A91)</f>
        <v>91</v>
      </c>
      <c r="B192">
        <v>55657272</v>
      </c>
      <c r="C192">
        <v>55658714</v>
      </c>
      <c r="D192">
        <v>53642783</v>
      </c>
      <c r="E192">
        <v>1</v>
      </c>
      <c r="F192">
        <v>1</v>
      </c>
      <c r="G192">
        <v>1</v>
      </c>
      <c r="H192">
        <v>3</v>
      </c>
      <c r="I192" t="s">
        <v>177</v>
      </c>
      <c r="J192" t="s">
        <v>179</v>
      </c>
      <c r="K192" t="s">
        <v>178</v>
      </c>
      <c r="L192">
        <v>1346</v>
      </c>
      <c r="N192">
        <v>1009</v>
      </c>
      <c r="O192" t="s">
        <v>51</v>
      </c>
      <c r="P192" t="s">
        <v>51</v>
      </c>
      <c r="Q192">
        <v>1</v>
      </c>
      <c r="W192">
        <v>0</v>
      </c>
      <c r="X192">
        <v>624972744</v>
      </c>
      <c r="Y192">
        <v>38.043478</v>
      </c>
      <c r="AA192">
        <v>208.86</v>
      </c>
      <c r="AB192">
        <v>0</v>
      </c>
      <c r="AC192">
        <v>0</v>
      </c>
      <c r="AD192">
        <v>0</v>
      </c>
      <c r="AE192">
        <v>31.08</v>
      </c>
      <c r="AF192">
        <v>0</v>
      </c>
      <c r="AG192">
        <v>0</v>
      </c>
      <c r="AH192">
        <v>0</v>
      </c>
      <c r="AI192">
        <v>6.72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T192">
        <v>38.043478</v>
      </c>
      <c r="AV192">
        <v>0</v>
      </c>
      <c r="AW192">
        <v>1</v>
      </c>
      <c r="AX192">
        <v>-1</v>
      </c>
      <c r="AY192">
        <v>0</v>
      </c>
      <c r="AZ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Y192*Source!I91</f>
        <v>5.249999964000001</v>
      </c>
      <c r="CY192">
        <f>AA192</f>
        <v>208.86</v>
      </c>
      <c r="CZ192">
        <f>AE192</f>
        <v>31.08</v>
      </c>
      <c r="DA192">
        <f>AI192</f>
        <v>6.72</v>
      </c>
      <c r="DB192">
        <f t="shared" si="50"/>
        <v>1182.39</v>
      </c>
      <c r="DC192">
        <f t="shared" si="51"/>
        <v>0</v>
      </c>
    </row>
    <row r="193" spans="1:107" ht="12.75">
      <c r="A193">
        <f>ROW(Source!A94)</f>
        <v>94</v>
      </c>
      <c r="B193">
        <v>55656218</v>
      </c>
      <c r="C193">
        <v>55658891</v>
      </c>
      <c r="D193">
        <v>37822896</v>
      </c>
      <c r="E193">
        <v>70</v>
      </c>
      <c r="F193">
        <v>1</v>
      </c>
      <c r="G193">
        <v>1</v>
      </c>
      <c r="H193">
        <v>1</v>
      </c>
      <c r="I193" t="s">
        <v>415</v>
      </c>
      <c r="K193" t="s">
        <v>416</v>
      </c>
      <c r="L193">
        <v>1191</v>
      </c>
      <c r="N193">
        <v>1013</v>
      </c>
      <c r="O193" t="s">
        <v>358</v>
      </c>
      <c r="P193" t="s">
        <v>358</v>
      </c>
      <c r="Q193">
        <v>1</v>
      </c>
      <c r="W193">
        <v>0</v>
      </c>
      <c r="X193">
        <v>1049124552</v>
      </c>
      <c r="Y193">
        <v>19.136</v>
      </c>
      <c r="AA193">
        <v>0</v>
      </c>
      <c r="AB193">
        <v>0</v>
      </c>
      <c r="AC193">
        <v>0</v>
      </c>
      <c r="AD193">
        <v>8.53</v>
      </c>
      <c r="AE193">
        <v>0</v>
      </c>
      <c r="AF193">
        <v>0</v>
      </c>
      <c r="AG193">
        <v>0</v>
      </c>
      <c r="AH193">
        <v>8.53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1</v>
      </c>
      <c r="AQ193">
        <v>0</v>
      </c>
      <c r="AR193">
        <v>0</v>
      </c>
      <c r="AT193">
        <v>16.64</v>
      </c>
      <c r="AU193" t="s">
        <v>118</v>
      </c>
      <c r="AV193">
        <v>1</v>
      </c>
      <c r="AW193">
        <v>2</v>
      </c>
      <c r="AX193">
        <v>55658895</v>
      </c>
      <c r="AY193">
        <v>1</v>
      </c>
      <c r="AZ193">
        <v>0</v>
      </c>
      <c r="BA193">
        <v>203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Y193*Source!I94</f>
        <v>0.5740799999999999</v>
      </c>
      <c r="CY193">
        <f>AD193</f>
        <v>8.53</v>
      </c>
      <c r="CZ193">
        <f>AH193</f>
        <v>8.53</v>
      </c>
      <c r="DA193">
        <f>AL193</f>
        <v>1</v>
      </c>
      <c r="DB193">
        <f>ROUND((ROUND(AT193*CZ193,2)*ROUND(1.15,7)),2)</f>
        <v>163.23</v>
      </c>
      <c r="DC193">
        <f>ROUND((ROUND(AT193*AG193,2)*ROUND(1.15,7)),2)</f>
        <v>0</v>
      </c>
    </row>
    <row r="194" spans="1:107" ht="12.75">
      <c r="A194">
        <f>ROW(Source!A94)</f>
        <v>94</v>
      </c>
      <c r="B194">
        <v>55656218</v>
      </c>
      <c r="C194">
        <v>55658891</v>
      </c>
      <c r="D194">
        <v>53644872</v>
      </c>
      <c r="E194">
        <v>1</v>
      </c>
      <c r="F194">
        <v>1</v>
      </c>
      <c r="G194">
        <v>1</v>
      </c>
      <c r="H194">
        <v>3</v>
      </c>
      <c r="I194" t="s">
        <v>417</v>
      </c>
      <c r="J194" t="s">
        <v>418</v>
      </c>
      <c r="K194" t="s">
        <v>419</v>
      </c>
      <c r="L194">
        <v>1425</v>
      </c>
      <c r="N194">
        <v>1013</v>
      </c>
      <c r="O194" t="s">
        <v>204</v>
      </c>
      <c r="P194" t="s">
        <v>204</v>
      </c>
      <c r="Q194">
        <v>1</v>
      </c>
      <c r="W194">
        <v>0</v>
      </c>
      <c r="X194">
        <v>-1109928473</v>
      </c>
      <c r="Y194">
        <v>6.7</v>
      </c>
      <c r="AA194">
        <v>12</v>
      </c>
      <c r="AB194">
        <v>0</v>
      </c>
      <c r="AC194">
        <v>0</v>
      </c>
      <c r="AD194">
        <v>0</v>
      </c>
      <c r="AE194">
        <v>12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6.7</v>
      </c>
      <c r="AV194">
        <v>0</v>
      </c>
      <c r="AW194">
        <v>2</v>
      </c>
      <c r="AX194">
        <v>55658896</v>
      </c>
      <c r="AY194">
        <v>1</v>
      </c>
      <c r="AZ194">
        <v>0</v>
      </c>
      <c r="BA194">
        <v>204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Y194*Source!I94</f>
        <v>0.20099999999999998</v>
      </c>
      <c r="CY194">
        <f>AA194</f>
        <v>12</v>
      </c>
      <c r="CZ194">
        <f>AE194</f>
        <v>12</v>
      </c>
      <c r="DA194">
        <f>AI194</f>
        <v>1</v>
      </c>
      <c r="DB194">
        <f>ROUND(ROUND(AT194*CZ194,2),2)</f>
        <v>80.4</v>
      </c>
      <c r="DC194">
        <f>ROUND(ROUND(AT194*AG194,2),2)</f>
        <v>0</v>
      </c>
    </row>
    <row r="195" spans="1:107" ht="12.75">
      <c r="A195">
        <f>ROW(Source!A94)</f>
        <v>94</v>
      </c>
      <c r="B195">
        <v>55656218</v>
      </c>
      <c r="C195">
        <v>55658891</v>
      </c>
      <c r="D195">
        <v>37854500</v>
      </c>
      <c r="E195">
        <v>1</v>
      </c>
      <c r="F195">
        <v>1</v>
      </c>
      <c r="G195">
        <v>1</v>
      </c>
      <c r="H195">
        <v>3</v>
      </c>
      <c r="I195" t="s">
        <v>189</v>
      </c>
      <c r="J195" t="s">
        <v>191</v>
      </c>
      <c r="K195" t="s">
        <v>190</v>
      </c>
      <c r="L195">
        <v>1301</v>
      </c>
      <c r="N195">
        <v>1003</v>
      </c>
      <c r="O195" t="s">
        <v>158</v>
      </c>
      <c r="P195" t="s">
        <v>158</v>
      </c>
      <c r="Q195">
        <v>1</v>
      </c>
      <c r="W195">
        <v>0</v>
      </c>
      <c r="X195">
        <v>-208962189</v>
      </c>
      <c r="Y195">
        <v>105</v>
      </c>
      <c r="AA195">
        <v>22.58</v>
      </c>
      <c r="AB195">
        <v>0</v>
      </c>
      <c r="AC195">
        <v>0</v>
      </c>
      <c r="AD195">
        <v>0</v>
      </c>
      <c r="AE195">
        <v>22.58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0</v>
      </c>
      <c r="AP195">
        <v>0</v>
      </c>
      <c r="AQ195">
        <v>0</v>
      </c>
      <c r="AR195">
        <v>0</v>
      </c>
      <c r="AT195">
        <v>105</v>
      </c>
      <c r="AV195">
        <v>0</v>
      </c>
      <c r="AW195">
        <v>1</v>
      </c>
      <c r="AX195">
        <v>-1</v>
      </c>
      <c r="AY195">
        <v>0</v>
      </c>
      <c r="AZ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Y195*Source!I94</f>
        <v>3.15</v>
      </c>
      <c r="CY195">
        <f>AA195</f>
        <v>22.58</v>
      </c>
      <c r="CZ195">
        <f>AE195</f>
        <v>22.58</v>
      </c>
      <c r="DA195">
        <f>AI195</f>
        <v>1</v>
      </c>
      <c r="DB195">
        <f>ROUND(ROUND(AT195*CZ195,2),2)</f>
        <v>2370.9</v>
      </c>
      <c r="DC195">
        <f>ROUND(ROUND(AT195*AG195,2),2)</f>
        <v>0</v>
      </c>
    </row>
    <row r="196" spans="1:107" ht="12.75">
      <c r="A196">
        <f>ROW(Source!A95)</f>
        <v>95</v>
      </c>
      <c r="B196">
        <v>55657272</v>
      </c>
      <c r="C196">
        <v>55658891</v>
      </c>
      <c r="D196">
        <v>37822896</v>
      </c>
      <c r="E196">
        <v>70</v>
      </c>
      <c r="F196">
        <v>1</v>
      </c>
      <c r="G196">
        <v>1</v>
      </c>
      <c r="H196">
        <v>1</v>
      </c>
      <c r="I196" t="s">
        <v>415</v>
      </c>
      <c r="K196" t="s">
        <v>416</v>
      </c>
      <c r="L196">
        <v>1191</v>
      </c>
      <c r="N196">
        <v>1013</v>
      </c>
      <c r="O196" t="s">
        <v>358</v>
      </c>
      <c r="P196" t="s">
        <v>358</v>
      </c>
      <c r="Q196">
        <v>1</v>
      </c>
      <c r="W196">
        <v>0</v>
      </c>
      <c r="X196">
        <v>1049124552</v>
      </c>
      <c r="Y196">
        <v>19.136</v>
      </c>
      <c r="AA196">
        <v>0</v>
      </c>
      <c r="AB196">
        <v>0</v>
      </c>
      <c r="AC196">
        <v>0</v>
      </c>
      <c r="AD196">
        <v>318.51</v>
      </c>
      <c r="AE196">
        <v>0</v>
      </c>
      <c r="AF196">
        <v>0</v>
      </c>
      <c r="AG196">
        <v>0</v>
      </c>
      <c r="AH196">
        <v>8.53</v>
      </c>
      <c r="AI196">
        <v>1</v>
      </c>
      <c r="AJ196">
        <v>1</v>
      </c>
      <c r="AK196">
        <v>1</v>
      </c>
      <c r="AL196">
        <v>37.34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16.64</v>
      </c>
      <c r="AU196" t="s">
        <v>118</v>
      </c>
      <c r="AV196">
        <v>1</v>
      </c>
      <c r="AW196">
        <v>2</v>
      </c>
      <c r="AX196">
        <v>55658895</v>
      </c>
      <c r="AY196">
        <v>1</v>
      </c>
      <c r="AZ196">
        <v>0</v>
      </c>
      <c r="BA196">
        <v>206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Y196*Source!I95</f>
        <v>0.5740799999999999</v>
      </c>
      <c r="CY196">
        <f>AD196</f>
        <v>318.51</v>
      </c>
      <c r="CZ196">
        <f>AH196</f>
        <v>8.53</v>
      </c>
      <c r="DA196">
        <f>AL196</f>
        <v>37.34</v>
      </c>
      <c r="DB196">
        <f>ROUND((ROUND(AT196*CZ196,2)*ROUND(1.15,7)),2)</f>
        <v>163.23</v>
      </c>
      <c r="DC196">
        <f>ROUND((ROUND(AT196*AG196,2)*ROUND(1.15,7)),2)</f>
        <v>0</v>
      </c>
    </row>
    <row r="197" spans="1:107" ht="12.75">
      <c r="A197">
        <f>ROW(Source!A95)</f>
        <v>95</v>
      </c>
      <c r="B197">
        <v>55657272</v>
      </c>
      <c r="C197">
        <v>55658891</v>
      </c>
      <c r="D197">
        <v>53644872</v>
      </c>
      <c r="E197">
        <v>1</v>
      </c>
      <c r="F197">
        <v>1</v>
      </c>
      <c r="G197">
        <v>1</v>
      </c>
      <c r="H197">
        <v>3</v>
      </c>
      <c r="I197" t="s">
        <v>417</v>
      </c>
      <c r="J197" t="s">
        <v>418</v>
      </c>
      <c r="K197" t="s">
        <v>419</v>
      </c>
      <c r="L197">
        <v>1425</v>
      </c>
      <c r="N197">
        <v>1013</v>
      </c>
      <c r="O197" t="s">
        <v>204</v>
      </c>
      <c r="P197" t="s">
        <v>204</v>
      </c>
      <c r="Q197">
        <v>1</v>
      </c>
      <c r="W197">
        <v>0</v>
      </c>
      <c r="X197">
        <v>-1109928473</v>
      </c>
      <c r="Y197">
        <v>6.7</v>
      </c>
      <c r="AA197">
        <v>80.64</v>
      </c>
      <c r="AB197">
        <v>0</v>
      </c>
      <c r="AC197">
        <v>0</v>
      </c>
      <c r="AD197">
        <v>0</v>
      </c>
      <c r="AE197">
        <v>12</v>
      </c>
      <c r="AF197">
        <v>0</v>
      </c>
      <c r="AG197">
        <v>0</v>
      </c>
      <c r="AH197">
        <v>0</v>
      </c>
      <c r="AI197">
        <v>6.72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6.7</v>
      </c>
      <c r="AV197">
        <v>0</v>
      </c>
      <c r="AW197">
        <v>2</v>
      </c>
      <c r="AX197">
        <v>55658896</v>
      </c>
      <c r="AY197">
        <v>1</v>
      </c>
      <c r="AZ197">
        <v>0</v>
      </c>
      <c r="BA197">
        <v>207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Y197*Source!I95</f>
        <v>0.20099999999999998</v>
      </c>
      <c r="CY197">
        <f>AA197</f>
        <v>80.64</v>
      </c>
      <c r="CZ197">
        <f>AE197</f>
        <v>12</v>
      </c>
      <c r="DA197">
        <f>AI197</f>
        <v>6.72</v>
      </c>
      <c r="DB197">
        <f>ROUND(ROUND(AT197*CZ197,2),2)</f>
        <v>80.4</v>
      </c>
      <c r="DC197">
        <f>ROUND(ROUND(AT197*AG197,2),2)</f>
        <v>0</v>
      </c>
    </row>
    <row r="198" spans="1:107" ht="12.75">
      <c r="A198">
        <f>ROW(Source!A95)</f>
        <v>95</v>
      </c>
      <c r="B198">
        <v>55657272</v>
      </c>
      <c r="C198">
        <v>55658891</v>
      </c>
      <c r="D198">
        <v>37854500</v>
      </c>
      <c r="E198">
        <v>1</v>
      </c>
      <c r="F198">
        <v>1</v>
      </c>
      <c r="G198">
        <v>1</v>
      </c>
      <c r="H198">
        <v>3</v>
      </c>
      <c r="I198" t="s">
        <v>189</v>
      </c>
      <c r="J198" t="s">
        <v>191</v>
      </c>
      <c r="K198" t="s">
        <v>190</v>
      </c>
      <c r="L198">
        <v>1301</v>
      </c>
      <c r="N198">
        <v>1003</v>
      </c>
      <c r="O198" t="s">
        <v>158</v>
      </c>
      <c r="P198" t="s">
        <v>158</v>
      </c>
      <c r="Q198">
        <v>1</v>
      </c>
      <c r="W198">
        <v>0</v>
      </c>
      <c r="X198">
        <v>-208962189</v>
      </c>
      <c r="Y198">
        <v>105</v>
      </c>
      <c r="AA198">
        <v>151.74</v>
      </c>
      <c r="AB198">
        <v>0</v>
      </c>
      <c r="AC198">
        <v>0</v>
      </c>
      <c r="AD198">
        <v>0</v>
      </c>
      <c r="AE198">
        <v>22.58</v>
      </c>
      <c r="AF198">
        <v>0</v>
      </c>
      <c r="AG198">
        <v>0</v>
      </c>
      <c r="AH198">
        <v>0</v>
      </c>
      <c r="AI198">
        <v>6.72</v>
      </c>
      <c r="AJ198">
        <v>1</v>
      </c>
      <c r="AK198">
        <v>1</v>
      </c>
      <c r="AL198">
        <v>1</v>
      </c>
      <c r="AN198">
        <v>0</v>
      </c>
      <c r="AO198">
        <v>0</v>
      </c>
      <c r="AP198">
        <v>0</v>
      </c>
      <c r="AQ198">
        <v>0</v>
      </c>
      <c r="AR198">
        <v>0</v>
      </c>
      <c r="AT198">
        <v>105</v>
      </c>
      <c r="AV198">
        <v>0</v>
      </c>
      <c r="AW198">
        <v>1</v>
      </c>
      <c r="AX198">
        <v>-1</v>
      </c>
      <c r="AY198">
        <v>0</v>
      </c>
      <c r="AZ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Y198*Source!I95</f>
        <v>3.15</v>
      </c>
      <c r="CY198">
        <f>AA198</f>
        <v>151.74</v>
      </c>
      <c r="CZ198">
        <f>AE198</f>
        <v>22.58</v>
      </c>
      <c r="DA198">
        <f>AI198</f>
        <v>6.72</v>
      </c>
      <c r="DB198">
        <f>ROUND(ROUND(AT198*CZ198,2),2)</f>
        <v>2370.9</v>
      </c>
      <c r="DC198">
        <f>ROUND(ROUND(AT198*AG198,2),2)</f>
        <v>0</v>
      </c>
    </row>
    <row r="199" spans="1:107" ht="12.75">
      <c r="A199">
        <f>ROW(Source!A98)</f>
        <v>98</v>
      </c>
      <c r="B199">
        <v>55656218</v>
      </c>
      <c r="C199">
        <v>55668604</v>
      </c>
      <c r="D199">
        <v>53630101</v>
      </c>
      <c r="E199">
        <v>70</v>
      </c>
      <c r="F199">
        <v>1</v>
      </c>
      <c r="G199">
        <v>1</v>
      </c>
      <c r="H199">
        <v>1</v>
      </c>
      <c r="I199" t="s">
        <v>420</v>
      </c>
      <c r="K199" t="s">
        <v>421</v>
      </c>
      <c r="L199">
        <v>1191</v>
      </c>
      <c r="N199">
        <v>1013</v>
      </c>
      <c r="O199" t="s">
        <v>358</v>
      </c>
      <c r="P199" t="s">
        <v>358</v>
      </c>
      <c r="Q199">
        <v>1</v>
      </c>
      <c r="W199">
        <v>0</v>
      </c>
      <c r="X199">
        <v>-2012709214</v>
      </c>
      <c r="Y199">
        <v>92.11499999999998</v>
      </c>
      <c r="AA199">
        <v>0</v>
      </c>
      <c r="AB199">
        <v>0</v>
      </c>
      <c r="AC199">
        <v>0</v>
      </c>
      <c r="AD199">
        <v>9.4</v>
      </c>
      <c r="AE199">
        <v>0</v>
      </c>
      <c r="AF199">
        <v>0</v>
      </c>
      <c r="AG199">
        <v>0</v>
      </c>
      <c r="AH199">
        <v>9.4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T199">
        <v>80.1</v>
      </c>
      <c r="AU199" t="s">
        <v>118</v>
      </c>
      <c r="AV199">
        <v>1</v>
      </c>
      <c r="AW199">
        <v>2</v>
      </c>
      <c r="AX199">
        <v>55668605</v>
      </c>
      <c r="AY199">
        <v>1</v>
      </c>
      <c r="AZ199">
        <v>0</v>
      </c>
      <c r="BA199">
        <v>209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Y199*Source!I98</f>
        <v>5.158439999999999</v>
      </c>
      <c r="CY199">
        <f>AD199</f>
        <v>9.4</v>
      </c>
      <c r="CZ199">
        <f>AH199</f>
        <v>9.4</v>
      </c>
      <c r="DA199">
        <f>AL199</f>
        <v>1</v>
      </c>
      <c r="DB199">
        <f>ROUND((ROUND(AT199*CZ199,2)*ROUND(1.15,7)),2)</f>
        <v>865.88</v>
      </c>
      <c r="DC199">
        <f>ROUND((ROUND(AT199*AG199,2)*ROUND(1.15,7)),2)</f>
        <v>0</v>
      </c>
    </row>
    <row r="200" spans="1:107" ht="12.75">
      <c r="A200">
        <f>ROW(Source!A98)</f>
        <v>98</v>
      </c>
      <c r="B200">
        <v>55656218</v>
      </c>
      <c r="C200">
        <v>55668604</v>
      </c>
      <c r="D200">
        <v>53630257</v>
      </c>
      <c r="E200">
        <v>70</v>
      </c>
      <c r="F200">
        <v>1</v>
      </c>
      <c r="G200">
        <v>1</v>
      </c>
      <c r="H200">
        <v>1</v>
      </c>
      <c r="I200" t="s">
        <v>359</v>
      </c>
      <c r="K200" t="s">
        <v>360</v>
      </c>
      <c r="L200">
        <v>1191</v>
      </c>
      <c r="N200">
        <v>1013</v>
      </c>
      <c r="O200" t="s">
        <v>358</v>
      </c>
      <c r="P200" t="s">
        <v>358</v>
      </c>
      <c r="Q200">
        <v>1</v>
      </c>
      <c r="W200">
        <v>0</v>
      </c>
      <c r="X200">
        <v>-1417349443</v>
      </c>
      <c r="Y200">
        <v>12.8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10.24</v>
      </c>
      <c r="AU200" t="s">
        <v>117</v>
      </c>
      <c r="AV200">
        <v>2</v>
      </c>
      <c r="AW200">
        <v>2</v>
      </c>
      <c r="AX200">
        <v>55668606</v>
      </c>
      <c r="AY200">
        <v>1</v>
      </c>
      <c r="AZ200">
        <v>0</v>
      </c>
      <c r="BA200">
        <v>210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Y200*Source!I98</f>
        <v>0.7168000000000001</v>
      </c>
      <c r="CY200">
        <f>AD200</f>
        <v>0</v>
      </c>
      <c r="CZ200">
        <f>AH200</f>
        <v>0</v>
      </c>
      <c r="DA200">
        <f>AL200</f>
        <v>1</v>
      </c>
      <c r="DB200">
        <f>ROUND((ROUND(AT200*CZ200,2)*ROUND(1.25,7)),2)</f>
        <v>0</v>
      </c>
      <c r="DC200">
        <f>ROUND((ROUND(AT200*AG200,2)*ROUND(1.25,7)),2)</f>
        <v>0</v>
      </c>
    </row>
    <row r="201" spans="1:107" ht="12.75">
      <c r="A201">
        <f>ROW(Source!A98)</f>
        <v>98</v>
      </c>
      <c r="B201">
        <v>55656218</v>
      </c>
      <c r="C201">
        <v>55668604</v>
      </c>
      <c r="D201">
        <v>53791939</v>
      </c>
      <c r="E201">
        <v>1</v>
      </c>
      <c r="F201">
        <v>1</v>
      </c>
      <c r="G201">
        <v>1</v>
      </c>
      <c r="H201">
        <v>2</v>
      </c>
      <c r="I201" t="s">
        <v>422</v>
      </c>
      <c r="J201" t="s">
        <v>423</v>
      </c>
      <c r="K201" t="s">
        <v>424</v>
      </c>
      <c r="L201">
        <v>1367</v>
      </c>
      <c r="N201">
        <v>1011</v>
      </c>
      <c r="O201" t="s">
        <v>364</v>
      </c>
      <c r="P201" t="s">
        <v>364</v>
      </c>
      <c r="Q201">
        <v>1</v>
      </c>
      <c r="W201">
        <v>0</v>
      </c>
      <c r="X201">
        <v>-130837057</v>
      </c>
      <c r="Y201">
        <v>8.85</v>
      </c>
      <c r="AA201">
        <v>0</v>
      </c>
      <c r="AB201">
        <v>86.4</v>
      </c>
      <c r="AC201">
        <v>13.5</v>
      </c>
      <c r="AD201">
        <v>0</v>
      </c>
      <c r="AE201">
        <v>0</v>
      </c>
      <c r="AF201">
        <v>86.4</v>
      </c>
      <c r="AG201">
        <v>13.5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T201">
        <v>7.08</v>
      </c>
      <c r="AU201" t="s">
        <v>117</v>
      </c>
      <c r="AV201">
        <v>0</v>
      </c>
      <c r="AW201">
        <v>2</v>
      </c>
      <c r="AX201">
        <v>55668607</v>
      </c>
      <c r="AY201">
        <v>1</v>
      </c>
      <c r="AZ201">
        <v>0</v>
      </c>
      <c r="BA201">
        <v>211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Y201*Source!I98</f>
        <v>0.4956</v>
      </c>
      <c r="CY201">
        <f>AB201</f>
        <v>86.4</v>
      </c>
      <c r="CZ201">
        <f>AF201</f>
        <v>86.4</v>
      </c>
      <c r="DA201">
        <f>AJ201</f>
        <v>1</v>
      </c>
      <c r="DB201">
        <f>ROUND((ROUND(AT201*CZ201,2)*ROUND(1.25,7)),2)</f>
        <v>764.64</v>
      </c>
      <c r="DC201">
        <f>ROUND((ROUND(AT201*AG201,2)*ROUND(1.25,7)),2)</f>
        <v>119.48</v>
      </c>
    </row>
    <row r="202" spans="1:107" ht="12.75">
      <c r="A202">
        <f>ROW(Source!A98)</f>
        <v>98</v>
      </c>
      <c r="B202">
        <v>55656218</v>
      </c>
      <c r="C202">
        <v>55668604</v>
      </c>
      <c r="D202">
        <v>53791997</v>
      </c>
      <c r="E202">
        <v>1</v>
      </c>
      <c r="F202">
        <v>1</v>
      </c>
      <c r="G202">
        <v>1</v>
      </c>
      <c r="H202">
        <v>2</v>
      </c>
      <c r="I202" t="s">
        <v>361</v>
      </c>
      <c r="J202" t="s">
        <v>362</v>
      </c>
      <c r="K202" t="s">
        <v>363</v>
      </c>
      <c r="L202">
        <v>1367</v>
      </c>
      <c r="N202">
        <v>1011</v>
      </c>
      <c r="O202" t="s">
        <v>364</v>
      </c>
      <c r="P202" t="s">
        <v>364</v>
      </c>
      <c r="Q202">
        <v>1</v>
      </c>
      <c r="W202">
        <v>0</v>
      </c>
      <c r="X202">
        <v>-430484415</v>
      </c>
      <c r="Y202">
        <v>1.575</v>
      </c>
      <c r="AA202">
        <v>0</v>
      </c>
      <c r="AB202">
        <v>115.4</v>
      </c>
      <c r="AC202">
        <v>13.5</v>
      </c>
      <c r="AD202">
        <v>0</v>
      </c>
      <c r="AE202">
        <v>0</v>
      </c>
      <c r="AF202">
        <v>115.4</v>
      </c>
      <c r="AG202">
        <v>13.5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T202">
        <v>1.26</v>
      </c>
      <c r="AU202" t="s">
        <v>117</v>
      </c>
      <c r="AV202">
        <v>0</v>
      </c>
      <c r="AW202">
        <v>2</v>
      </c>
      <c r="AX202">
        <v>55668608</v>
      </c>
      <c r="AY202">
        <v>1</v>
      </c>
      <c r="AZ202">
        <v>0</v>
      </c>
      <c r="BA202">
        <v>212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Y202*Source!I98</f>
        <v>0.0882</v>
      </c>
      <c r="CY202">
        <f>AB202</f>
        <v>115.4</v>
      </c>
      <c r="CZ202">
        <f>AF202</f>
        <v>115.4</v>
      </c>
      <c r="DA202">
        <f>AJ202</f>
        <v>1</v>
      </c>
      <c r="DB202">
        <f>ROUND((ROUND(AT202*CZ202,2)*ROUND(1.25,7)),2)</f>
        <v>181.75</v>
      </c>
      <c r="DC202">
        <f>ROUND((ROUND(AT202*AG202,2)*ROUND(1.25,7)),2)</f>
        <v>21.26</v>
      </c>
    </row>
    <row r="203" spans="1:107" ht="12.75">
      <c r="A203">
        <f>ROW(Source!A98)</f>
        <v>98</v>
      </c>
      <c r="B203">
        <v>55656218</v>
      </c>
      <c r="C203">
        <v>55668604</v>
      </c>
      <c r="D203">
        <v>53792927</v>
      </c>
      <c r="E203">
        <v>1</v>
      </c>
      <c r="F203">
        <v>1</v>
      </c>
      <c r="G203">
        <v>1</v>
      </c>
      <c r="H203">
        <v>2</v>
      </c>
      <c r="I203" t="s">
        <v>368</v>
      </c>
      <c r="J203" t="s">
        <v>369</v>
      </c>
      <c r="K203" t="s">
        <v>370</v>
      </c>
      <c r="L203">
        <v>1367</v>
      </c>
      <c r="N203">
        <v>1011</v>
      </c>
      <c r="O203" t="s">
        <v>364</v>
      </c>
      <c r="P203" t="s">
        <v>364</v>
      </c>
      <c r="Q203">
        <v>1</v>
      </c>
      <c r="W203">
        <v>0</v>
      </c>
      <c r="X203">
        <v>509054691</v>
      </c>
      <c r="Y203">
        <v>2.375</v>
      </c>
      <c r="AA203">
        <v>0</v>
      </c>
      <c r="AB203">
        <v>65.71</v>
      </c>
      <c r="AC203">
        <v>11.6</v>
      </c>
      <c r="AD203">
        <v>0</v>
      </c>
      <c r="AE203">
        <v>0</v>
      </c>
      <c r="AF203">
        <v>65.71</v>
      </c>
      <c r="AG203">
        <v>11.6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T203">
        <v>1.9</v>
      </c>
      <c r="AU203" t="s">
        <v>117</v>
      </c>
      <c r="AV203">
        <v>0</v>
      </c>
      <c r="AW203">
        <v>2</v>
      </c>
      <c r="AX203">
        <v>55668609</v>
      </c>
      <c r="AY203">
        <v>1</v>
      </c>
      <c r="AZ203">
        <v>0</v>
      </c>
      <c r="BA203">
        <v>213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Y203*Source!I98</f>
        <v>0.133</v>
      </c>
      <c r="CY203">
        <f>AB203</f>
        <v>65.71</v>
      </c>
      <c r="CZ203">
        <f>AF203</f>
        <v>65.71</v>
      </c>
      <c r="DA203">
        <f>AJ203</f>
        <v>1</v>
      </c>
      <c r="DB203">
        <f>ROUND((ROUND(AT203*CZ203,2)*ROUND(1.25,7)),2)</f>
        <v>156.06</v>
      </c>
      <c r="DC203">
        <f>ROUND((ROUND(AT203*AG203,2)*ROUND(1.25,7)),2)</f>
        <v>27.55</v>
      </c>
    </row>
    <row r="204" spans="1:107" ht="12.75">
      <c r="A204">
        <f>ROW(Source!A98)</f>
        <v>98</v>
      </c>
      <c r="B204">
        <v>55656218</v>
      </c>
      <c r="C204">
        <v>55668604</v>
      </c>
      <c r="D204">
        <v>53644939</v>
      </c>
      <c r="E204">
        <v>1</v>
      </c>
      <c r="F204">
        <v>1</v>
      </c>
      <c r="G204">
        <v>1</v>
      </c>
      <c r="H204">
        <v>3</v>
      </c>
      <c r="I204" t="s">
        <v>62</v>
      </c>
      <c r="J204" t="s">
        <v>64</v>
      </c>
      <c r="K204" t="s">
        <v>63</v>
      </c>
      <c r="L204">
        <v>1348</v>
      </c>
      <c r="N204">
        <v>1009</v>
      </c>
      <c r="O204" t="s">
        <v>41</v>
      </c>
      <c r="P204" t="s">
        <v>41</v>
      </c>
      <c r="Q204">
        <v>1000</v>
      </c>
      <c r="W204">
        <v>0</v>
      </c>
      <c r="X204">
        <v>-45966985</v>
      </c>
      <c r="Y204">
        <v>0.00168</v>
      </c>
      <c r="AA204">
        <v>11978</v>
      </c>
      <c r="AB204">
        <v>0</v>
      </c>
      <c r="AC204">
        <v>0</v>
      </c>
      <c r="AD204">
        <v>0</v>
      </c>
      <c r="AE204">
        <v>11978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0.00168</v>
      </c>
      <c r="AV204">
        <v>0</v>
      </c>
      <c r="AW204">
        <v>2</v>
      </c>
      <c r="AX204">
        <v>55668611</v>
      </c>
      <c r="AY204">
        <v>1</v>
      </c>
      <c r="AZ204">
        <v>0</v>
      </c>
      <c r="BA204">
        <v>215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Y204*Source!I98</f>
        <v>9.408000000000001E-05</v>
      </c>
      <c r="CY204">
        <f aca="true" t="shared" si="52" ref="CY204:CY209">AA204</f>
        <v>11978</v>
      </c>
      <c r="CZ204">
        <f aca="true" t="shared" si="53" ref="CZ204:CZ209">AE204</f>
        <v>11978</v>
      </c>
      <c r="DA204">
        <f aca="true" t="shared" si="54" ref="DA204:DA209">AI204</f>
        <v>1</v>
      </c>
      <c r="DB204">
        <f aca="true" t="shared" si="55" ref="DB204:DB209">ROUND(ROUND(AT204*CZ204,2),2)</f>
        <v>20.12</v>
      </c>
      <c r="DC204">
        <f aca="true" t="shared" si="56" ref="DC204:DC209">ROUND(ROUND(AT204*AG204,2),2)</f>
        <v>0</v>
      </c>
    </row>
    <row r="205" spans="1:107" ht="12.75">
      <c r="A205">
        <f>ROW(Source!A98)</f>
        <v>98</v>
      </c>
      <c r="B205">
        <v>55656218</v>
      </c>
      <c r="C205">
        <v>55668604</v>
      </c>
      <c r="D205">
        <v>53647861</v>
      </c>
      <c r="E205">
        <v>1</v>
      </c>
      <c r="F205">
        <v>1</v>
      </c>
      <c r="G205">
        <v>1</v>
      </c>
      <c r="H205">
        <v>3</v>
      </c>
      <c r="I205" t="s">
        <v>425</v>
      </c>
      <c r="J205" t="s">
        <v>426</v>
      </c>
      <c r="K205" t="s">
        <v>427</v>
      </c>
      <c r="L205">
        <v>1339</v>
      </c>
      <c r="N205">
        <v>1007</v>
      </c>
      <c r="O205" t="s">
        <v>46</v>
      </c>
      <c r="P205" t="s">
        <v>46</v>
      </c>
      <c r="Q205">
        <v>1</v>
      </c>
      <c r="W205">
        <v>0</v>
      </c>
      <c r="X205">
        <v>-1246511917</v>
      </c>
      <c r="Y205">
        <v>0.076</v>
      </c>
      <c r="AA205">
        <v>458</v>
      </c>
      <c r="AB205">
        <v>0</v>
      </c>
      <c r="AC205">
        <v>0</v>
      </c>
      <c r="AD205">
        <v>0</v>
      </c>
      <c r="AE205">
        <v>458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0.076</v>
      </c>
      <c r="AV205">
        <v>0</v>
      </c>
      <c r="AW205">
        <v>2</v>
      </c>
      <c r="AX205">
        <v>55668612</v>
      </c>
      <c r="AY205">
        <v>1</v>
      </c>
      <c r="AZ205">
        <v>0</v>
      </c>
      <c r="BA205">
        <v>216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Y205*Source!I98</f>
        <v>0.004256</v>
      </c>
      <c r="CY205">
        <f t="shared" si="52"/>
        <v>458</v>
      </c>
      <c r="CZ205">
        <f t="shared" si="53"/>
        <v>458</v>
      </c>
      <c r="DA205">
        <f t="shared" si="54"/>
        <v>1</v>
      </c>
      <c r="DB205">
        <f t="shared" si="55"/>
        <v>34.81</v>
      </c>
      <c r="DC205">
        <f t="shared" si="56"/>
        <v>0</v>
      </c>
    </row>
    <row r="206" spans="1:107" ht="12.75">
      <c r="A206">
        <f>ROW(Source!A98)</f>
        <v>98</v>
      </c>
      <c r="B206">
        <v>55656218</v>
      </c>
      <c r="C206">
        <v>55668604</v>
      </c>
      <c r="D206">
        <v>53660946</v>
      </c>
      <c r="E206">
        <v>1</v>
      </c>
      <c r="F206">
        <v>1</v>
      </c>
      <c r="G206">
        <v>1</v>
      </c>
      <c r="H206">
        <v>3</v>
      </c>
      <c r="I206" t="s">
        <v>428</v>
      </c>
      <c r="J206" t="s">
        <v>429</v>
      </c>
      <c r="K206" t="s">
        <v>430</v>
      </c>
      <c r="L206">
        <v>1346</v>
      </c>
      <c r="N206">
        <v>1009</v>
      </c>
      <c r="O206" t="s">
        <v>51</v>
      </c>
      <c r="P206" t="s">
        <v>51</v>
      </c>
      <c r="Q206">
        <v>1</v>
      </c>
      <c r="W206">
        <v>0</v>
      </c>
      <c r="X206">
        <v>1088760656</v>
      </c>
      <c r="Y206">
        <v>22.41</v>
      </c>
      <c r="AA206">
        <v>10.26</v>
      </c>
      <c r="AB206">
        <v>0</v>
      </c>
      <c r="AC206">
        <v>0</v>
      </c>
      <c r="AD206">
        <v>0</v>
      </c>
      <c r="AE206">
        <v>10.26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22.41</v>
      </c>
      <c r="AV206">
        <v>0</v>
      </c>
      <c r="AW206">
        <v>2</v>
      </c>
      <c r="AX206">
        <v>55668613</v>
      </c>
      <c r="AY206">
        <v>1</v>
      </c>
      <c r="AZ206">
        <v>0</v>
      </c>
      <c r="BA206">
        <v>217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Y206*Source!I98</f>
        <v>1.25496</v>
      </c>
      <c r="CY206">
        <f t="shared" si="52"/>
        <v>10.26</v>
      </c>
      <c r="CZ206">
        <f t="shared" si="53"/>
        <v>10.26</v>
      </c>
      <c r="DA206">
        <f t="shared" si="54"/>
        <v>1</v>
      </c>
      <c r="DB206">
        <f t="shared" si="55"/>
        <v>229.93</v>
      </c>
      <c r="DC206">
        <f t="shared" si="56"/>
        <v>0</v>
      </c>
    </row>
    <row r="207" spans="1:107" ht="12.75">
      <c r="A207">
        <f>ROW(Source!A98)</f>
        <v>98</v>
      </c>
      <c r="B207">
        <v>55656218</v>
      </c>
      <c r="C207">
        <v>55668604</v>
      </c>
      <c r="D207">
        <v>53666237</v>
      </c>
      <c r="E207">
        <v>1</v>
      </c>
      <c r="F207">
        <v>1</v>
      </c>
      <c r="G207">
        <v>1</v>
      </c>
      <c r="H207">
        <v>3</v>
      </c>
      <c r="I207" t="s">
        <v>431</v>
      </c>
      <c r="J207" t="s">
        <v>432</v>
      </c>
      <c r="K207" t="s">
        <v>433</v>
      </c>
      <c r="L207">
        <v>1339</v>
      </c>
      <c r="N207">
        <v>1007</v>
      </c>
      <c r="O207" t="s">
        <v>46</v>
      </c>
      <c r="P207" t="s">
        <v>46</v>
      </c>
      <c r="Q207">
        <v>1</v>
      </c>
      <c r="W207">
        <v>0</v>
      </c>
      <c r="X207">
        <v>-896765309</v>
      </c>
      <c r="Y207">
        <v>0.07</v>
      </c>
      <c r="AA207">
        <v>1100</v>
      </c>
      <c r="AB207">
        <v>0</v>
      </c>
      <c r="AC207">
        <v>0</v>
      </c>
      <c r="AD207">
        <v>0</v>
      </c>
      <c r="AE207">
        <v>1100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0.07</v>
      </c>
      <c r="AV207">
        <v>0</v>
      </c>
      <c r="AW207">
        <v>2</v>
      </c>
      <c r="AX207">
        <v>55668614</v>
      </c>
      <c r="AY207">
        <v>1</v>
      </c>
      <c r="AZ207">
        <v>0</v>
      </c>
      <c r="BA207">
        <v>218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Y207*Source!I98</f>
        <v>0.003920000000000001</v>
      </c>
      <c r="CY207">
        <f t="shared" si="52"/>
        <v>1100</v>
      </c>
      <c r="CZ207">
        <f t="shared" si="53"/>
        <v>1100</v>
      </c>
      <c r="DA207">
        <f t="shared" si="54"/>
        <v>1</v>
      </c>
      <c r="DB207">
        <f t="shared" si="55"/>
        <v>77</v>
      </c>
      <c r="DC207">
        <f t="shared" si="56"/>
        <v>0</v>
      </c>
    </row>
    <row r="208" spans="1:107" ht="12.75">
      <c r="A208">
        <f>ROW(Source!A98)</f>
        <v>98</v>
      </c>
      <c r="B208">
        <v>55656218</v>
      </c>
      <c r="C208">
        <v>55668604</v>
      </c>
      <c r="D208">
        <v>53674465</v>
      </c>
      <c r="E208">
        <v>1</v>
      </c>
      <c r="F208">
        <v>1</v>
      </c>
      <c r="G208">
        <v>1</v>
      </c>
      <c r="H208">
        <v>3</v>
      </c>
      <c r="I208" t="s">
        <v>434</v>
      </c>
      <c r="J208" t="s">
        <v>435</v>
      </c>
      <c r="K208" t="s">
        <v>436</v>
      </c>
      <c r="L208">
        <v>1296</v>
      </c>
      <c r="N208">
        <v>1002</v>
      </c>
      <c r="O208" t="s">
        <v>437</v>
      </c>
      <c r="P208" t="s">
        <v>437</v>
      </c>
      <c r="Q208">
        <v>1</v>
      </c>
      <c r="W208">
        <v>0</v>
      </c>
      <c r="X208">
        <v>-310994662</v>
      </c>
      <c r="Y208">
        <v>22.2</v>
      </c>
      <c r="AA208">
        <v>46.86</v>
      </c>
      <c r="AB208">
        <v>0</v>
      </c>
      <c r="AC208">
        <v>0</v>
      </c>
      <c r="AD208">
        <v>0</v>
      </c>
      <c r="AE208">
        <v>46.86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22.2</v>
      </c>
      <c r="AV208">
        <v>0</v>
      </c>
      <c r="AW208">
        <v>2</v>
      </c>
      <c r="AX208">
        <v>55668616</v>
      </c>
      <c r="AY208">
        <v>1</v>
      </c>
      <c r="AZ208">
        <v>0</v>
      </c>
      <c r="BA208">
        <v>220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Y208*Source!I98</f>
        <v>1.2432</v>
      </c>
      <c r="CY208">
        <f t="shared" si="52"/>
        <v>46.86</v>
      </c>
      <c r="CZ208">
        <f t="shared" si="53"/>
        <v>46.86</v>
      </c>
      <c r="DA208">
        <f t="shared" si="54"/>
        <v>1</v>
      </c>
      <c r="DB208">
        <f t="shared" si="55"/>
        <v>1040.29</v>
      </c>
      <c r="DC208">
        <f t="shared" si="56"/>
        <v>0</v>
      </c>
    </row>
    <row r="209" spans="1:107" ht="12.75">
      <c r="A209">
        <f>ROW(Source!A98)</f>
        <v>98</v>
      </c>
      <c r="B209">
        <v>55656218</v>
      </c>
      <c r="C209">
        <v>55668604</v>
      </c>
      <c r="D209">
        <v>0</v>
      </c>
      <c r="E209">
        <v>0</v>
      </c>
      <c r="F209">
        <v>1</v>
      </c>
      <c r="G209">
        <v>1</v>
      </c>
      <c r="H209">
        <v>3</v>
      </c>
      <c r="I209" t="s">
        <v>144</v>
      </c>
      <c r="K209" t="s">
        <v>478</v>
      </c>
      <c r="L209">
        <v>1429</v>
      </c>
      <c r="N209">
        <v>1013</v>
      </c>
      <c r="O209" t="s">
        <v>170</v>
      </c>
      <c r="P209" t="s">
        <v>170</v>
      </c>
      <c r="Q209">
        <v>1</v>
      </c>
      <c r="W209">
        <v>0</v>
      </c>
      <c r="X209">
        <v>-1944874667</v>
      </c>
      <c r="Y209">
        <v>35.714286</v>
      </c>
      <c r="AA209">
        <v>104160</v>
      </c>
      <c r="AB209">
        <v>0</v>
      </c>
      <c r="AC209">
        <v>0</v>
      </c>
      <c r="AD209">
        <v>0</v>
      </c>
      <c r="AE209">
        <v>104160</v>
      </c>
      <c r="AF209">
        <v>0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0</v>
      </c>
      <c r="AP209">
        <v>0</v>
      </c>
      <c r="AQ209">
        <v>0</v>
      </c>
      <c r="AR209">
        <v>0</v>
      </c>
      <c r="AT209">
        <v>35.714286</v>
      </c>
      <c r="AV209">
        <v>0</v>
      </c>
      <c r="AW209">
        <v>1</v>
      </c>
      <c r="AX209">
        <v>-1</v>
      </c>
      <c r="AY209">
        <v>0</v>
      </c>
      <c r="AZ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Y209*Source!I98</f>
        <v>2.000000016</v>
      </c>
      <c r="CY209">
        <f t="shared" si="52"/>
        <v>104160</v>
      </c>
      <c r="CZ209">
        <f t="shared" si="53"/>
        <v>104160</v>
      </c>
      <c r="DA209">
        <f t="shared" si="54"/>
        <v>1</v>
      </c>
      <c r="DB209">
        <f t="shared" si="55"/>
        <v>3720000.03</v>
      </c>
      <c r="DC209">
        <f t="shared" si="56"/>
        <v>0</v>
      </c>
    </row>
    <row r="210" spans="1:107" ht="12.75">
      <c r="A210">
        <f>ROW(Source!A99)</f>
        <v>99</v>
      </c>
      <c r="B210">
        <v>55657272</v>
      </c>
      <c r="C210">
        <v>55668604</v>
      </c>
      <c r="D210">
        <v>53630101</v>
      </c>
      <c r="E210">
        <v>70</v>
      </c>
      <c r="F210">
        <v>1</v>
      </c>
      <c r="G210">
        <v>1</v>
      </c>
      <c r="H210">
        <v>1</v>
      </c>
      <c r="I210" t="s">
        <v>420</v>
      </c>
      <c r="K210" t="s">
        <v>421</v>
      </c>
      <c r="L210">
        <v>1191</v>
      </c>
      <c r="N210">
        <v>1013</v>
      </c>
      <c r="O210" t="s">
        <v>358</v>
      </c>
      <c r="P210" t="s">
        <v>358</v>
      </c>
      <c r="Q210">
        <v>1</v>
      </c>
      <c r="W210">
        <v>0</v>
      </c>
      <c r="X210">
        <v>-2012709214</v>
      </c>
      <c r="Y210">
        <v>92.11499999999998</v>
      </c>
      <c r="AA210">
        <v>0</v>
      </c>
      <c r="AB210">
        <v>0</v>
      </c>
      <c r="AC210">
        <v>0</v>
      </c>
      <c r="AD210">
        <v>351</v>
      </c>
      <c r="AE210">
        <v>0</v>
      </c>
      <c r="AF210">
        <v>0</v>
      </c>
      <c r="AG210">
        <v>0</v>
      </c>
      <c r="AH210">
        <v>9.4</v>
      </c>
      <c r="AI210">
        <v>1</v>
      </c>
      <c r="AJ210">
        <v>1</v>
      </c>
      <c r="AK210">
        <v>1</v>
      </c>
      <c r="AL210">
        <v>37.34</v>
      </c>
      <c r="AN210">
        <v>0</v>
      </c>
      <c r="AO210">
        <v>1</v>
      </c>
      <c r="AP210">
        <v>1</v>
      </c>
      <c r="AQ210">
        <v>0</v>
      </c>
      <c r="AR210">
        <v>0</v>
      </c>
      <c r="AT210">
        <v>80.1</v>
      </c>
      <c r="AU210" t="s">
        <v>118</v>
      </c>
      <c r="AV210">
        <v>1</v>
      </c>
      <c r="AW210">
        <v>2</v>
      </c>
      <c r="AX210">
        <v>55668605</v>
      </c>
      <c r="AY210">
        <v>1</v>
      </c>
      <c r="AZ210">
        <v>0</v>
      </c>
      <c r="BA210">
        <v>221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Y210*Source!I99</f>
        <v>5.158439999999999</v>
      </c>
      <c r="CY210">
        <f>AD210</f>
        <v>351</v>
      </c>
      <c r="CZ210">
        <f>AH210</f>
        <v>9.4</v>
      </c>
      <c r="DA210">
        <f>AL210</f>
        <v>37.34</v>
      </c>
      <c r="DB210">
        <f>ROUND((ROUND(AT210*CZ210,2)*ROUND(1.15,7)),2)</f>
        <v>865.88</v>
      </c>
      <c r="DC210">
        <f>ROUND((ROUND(AT210*AG210,2)*ROUND(1.15,7)),2)</f>
        <v>0</v>
      </c>
    </row>
    <row r="211" spans="1:107" ht="12.75">
      <c r="A211">
        <f>ROW(Source!A99)</f>
        <v>99</v>
      </c>
      <c r="B211">
        <v>55657272</v>
      </c>
      <c r="C211">
        <v>55668604</v>
      </c>
      <c r="D211">
        <v>53630257</v>
      </c>
      <c r="E211">
        <v>70</v>
      </c>
      <c r="F211">
        <v>1</v>
      </c>
      <c r="G211">
        <v>1</v>
      </c>
      <c r="H211">
        <v>1</v>
      </c>
      <c r="I211" t="s">
        <v>359</v>
      </c>
      <c r="K211" t="s">
        <v>360</v>
      </c>
      <c r="L211">
        <v>1191</v>
      </c>
      <c r="N211">
        <v>1013</v>
      </c>
      <c r="O211" t="s">
        <v>358</v>
      </c>
      <c r="P211" t="s">
        <v>358</v>
      </c>
      <c r="Q211">
        <v>1</v>
      </c>
      <c r="W211">
        <v>0</v>
      </c>
      <c r="X211">
        <v>-1417349443</v>
      </c>
      <c r="Y211">
        <v>12.8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37.34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T211">
        <v>10.24</v>
      </c>
      <c r="AU211" t="s">
        <v>117</v>
      </c>
      <c r="AV211">
        <v>2</v>
      </c>
      <c r="AW211">
        <v>2</v>
      </c>
      <c r="AX211">
        <v>55668606</v>
      </c>
      <c r="AY211">
        <v>1</v>
      </c>
      <c r="AZ211">
        <v>0</v>
      </c>
      <c r="BA211">
        <v>222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Y211*Source!I99</f>
        <v>0.7168000000000001</v>
      </c>
      <c r="CY211">
        <f>AD211</f>
        <v>0</v>
      </c>
      <c r="CZ211">
        <f>AH211</f>
        <v>0</v>
      </c>
      <c r="DA211">
        <f>AL211</f>
        <v>1</v>
      </c>
      <c r="DB211">
        <f>ROUND((ROUND(AT211*CZ211,2)*ROUND(1.25,7)),2)</f>
        <v>0</v>
      </c>
      <c r="DC211">
        <f>ROUND((ROUND(AT211*AG211,2)*ROUND(1.25,7)),2)</f>
        <v>0</v>
      </c>
    </row>
    <row r="212" spans="1:107" ht="12.75">
      <c r="A212">
        <f>ROW(Source!A99)</f>
        <v>99</v>
      </c>
      <c r="B212">
        <v>55657272</v>
      </c>
      <c r="C212">
        <v>55668604</v>
      </c>
      <c r="D212">
        <v>53791939</v>
      </c>
      <c r="E212">
        <v>1</v>
      </c>
      <c r="F212">
        <v>1</v>
      </c>
      <c r="G212">
        <v>1</v>
      </c>
      <c r="H212">
        <v>2</v>
      </c>
      <c r="I212" t="s">
        <v>422</v>
      </c>
      <c r="J212" t="s">
        <v>423</v>
      </c>
      <c r="K212" t="s">
        <v>424</v>
      </c>
      <c r="L212">
        <v>1367</v>
      </c>
      <c r="N212">
        <v>1011</v>
      </c>
      <c r="O212" t="s">
        <v>364</v>
      </c>
      <c r="P212" t="s">
        <v>364</v>
      </c>
      <c r="Q212">
        <v>1</v>
      </c>
      <c r="W212">
        <v>0</v>
      </c>
      <c r="X212">
        <v>-130837057</v>
      </c>
      <c r="Y212">
        <v>8.85</v>
      </c>
      <c r="AA212">
        <v>0</v>
      </c>
      <c r="AB212">
        <v>1143.94</v>
      </c>
      <c r="AC212">
        <v>504.09</v>
      </c>
      <c r="AD212">
        <v>0</v>
      </c>
      <c r="AE212">
        <v>0</v>
      </c>
      <c r="AF212">
        <v>86.4</v>
      </c>
      <c r="AG212">
        <v>13.5</v>
      </c>
      <c r="AH212">
        <v>0</v>
      </c>
      <c r="AI212">
        <v>1</v>
      </c>
      <c r="AJ212">
        <v>13.24</v>
      </c>
      <c r="AK212">
        <v>37.34</v>
      </c>
      <c r="AL212">
        <v>1</v>
      </c>
      <c r="AN212">
        <v>0</v>
      </c>
      <c r="AO212">
        <v>1</v>
      </c>
      <c r="AP212">
        <v>1</v>
      </c>
      <c r="AQ212">
        <v>0</v>
      </c>
      <c r="AR212">
        <v>0</v>
      </c>
      <c r="AT212">
        <v>7.08</v>
      </c>
      <c r="AU212" t="s">
        <v>117</v>
      </c>
      <c r="AV212">
        <v>0</v>
      </c>
      <c r="AW212">
        <v>2</v>
      </c>
      <c r="AX212">
        <v>55668607</v>
      </c>
      <c r="AY212">
        <v>1</v>
      </c>
      <c r="AZ212">
        <v>0</v>
      </c>
      <c r="BA212">
        <v>223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Y212*Source!I99</f>
        <v>0.4956</v>
      </c>
      <c r="CY212">
        <f>AB212</f>
        <v>1143.94</v>
      </c>
      <c r="CZ212">
        <f>AF212</f>
        <v>86.4</v>
      </c>
      <c r="DA212">
        <f>AJ212</f>
        <v>13.24</v>
      </c>
      <c r="DB212">
        <f>ROUND((ROUND(AT212*CZ212,2)*ROUND(1.25,7)),2)</f>
        <v>764.64</v>
      </c>
      <c r="DC212">
        <f>ROUND((ROUND(AT212*AG212,2)*ROUND(1.25,7)),2)</f>
        <v>119.48</v>
      </c>
    </row>
    <row r="213" spans="1:107" ht="12.75">
      <c r="A213">
        <f>ROW(Source!A99)</f>
        <v>99</v>
      </c>
      <c r="B213">
        <v>55657272</v>
      </c>
      <c r="C213">
        <v>55668604</v>
      </c>
      <c r="D213">
        <v>53791997</v>
      </c>
      <c r="E213">
        <v>1</v>
      </c>
      <c r="F213">
        <v>1</v>
      </c>
      <c r="G213">
        <v>1</v>
      </c>
      <c r="H213">
        <v>2</v>
      </c>
      <c r="I213" t="s">
        <v>361</v>
      </c>
      <c r="J213" t="s">
        <v>362</v>
      </c>
      <c r="K213" t="s">
        <v>363</v>
      </c>
      <c r="L213">
        <v>1367</v>
      </c>
      <c r="N213">
        <v>1011</v>
      </c>
      <c r="O213" t="s">
        <v>364</v>
      </c>
      <c r="P213" t="s">
        <v>364</v>
      </c>
      <c r="Q213">
        <v>1</v>
      </c>
      <c r="W213">
        <v>0</v>
      </c>
      <c r="X213">
        <v>-430484415</v>
      </c>
      <c r="Y213">
        <v>1.575</v>
      </c>
      <c r="AA213">
        <v>0</v>
      </c>
      <c r="AB213">
        <v>1527.9</v>
      </c>
      <c r="AC213">
        <v>504.09</v>
      </c>
      <c r="AD213">
        <v>0</v>
      </c>
      <c r="AE213">
        <v>0</v>
      </c>
      <c r="AF213">
        <v>115.4</v>
      </c>
      <c r="AG213">
        <v>13.5</v>
      </c>
      <c r="AH213">
        <v>0</v>
      </c>
      <c r="AI213">
        <v>1</v>
      </c>
      <c r="AJ213">
        <v>13.24</v>
      </c>
      <c r="AK213">
        <v>37.34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T213">
        <v>1.26</v>
      </c>
      <c r="AU213" t="s">
        <v>117</v>
      </c>
      <c r="AV213">
        <v>0</v>
      </c>
      <c r="AW213">
        <v>2</v>
      </c>
      <c r="AX213">
        <v>55668608</v>
      </c>
      <c r="AY213">
        <v>1</v>
      </c>
      <c r="AZ213">
        <v>0</v>
      </c>
      <c r="BA213">
        <v>224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Y213*Source!I99</f>
        <v>0.0882</v>
      </c>
      <c r="CY213">
        <f>AB213</f>
        <v>1527.9</v>
      </c>
      <c r="CZ213">
        <f>AF213</f>
        <v>115.4</v>
      </c>
      <c r="DA213">
        <f>AJ213</f>
        <v>13.24</v>
      </c>
      <c r="DB213">
        <f>ROUND((ROUND(AT213*CZ213,2)*ROUND(1.25,7)),2)</f>
        <v>181.75</v>
      </c>
      <c r="DC213">
        <f>ROUND((ROUND(AT213*AG213,2)*ROUND(1.25,7)),2)</f>
        <v>21.26</v>
      </c>
    </row>
    <row r="214" spans="1:107" ht="12.75">
      <c r="A214">
        <f>ROW(Source!A99)</f>
        <v>99</v>
      </c>
      <c r="B214">
        <v>55657272</v>
      </c>
      <c r="C214">
        <v>55668604</v>
      </c>
      <c r="D214">
        <v>53792927</v>
      </c>
      <c r="E214">
        <v>1</v>
      </c>
      <c r="F214">
        <v>1</v>
      </c>
      <c r="G214">
        <v>1</v>
      </c>
      <c r="H214">
        <v>2</v>
      </c>
      <c r="I214" t="s">
        <v>368</v>
      </c>
      <c r="J214" t="s">
        <v>369</v>
      </c>
      <c r="K214" t="s">
        <v>370</v>
      </c>
      <c r="L214">
        <v>1367</v>
      </c>
      <c r="N214">
        <v>1011</v>
      </c>
      <c r="O214" t="s">
        <v>364</v>
      </c>
      <c r="P214" t="s">
        <v>364</v>
      </c>
      <c r="Q214">
        <v>1</v>
      </c>
      <c r="W214">
        <v>0</v>
      </c>
      <c r="X214">
        <v>509054691</v>
      </c>
      <c r="Y214">
        <v>2.375</v>
      </c>
      <c r="AA214">
        <v>0</v>
      </c>
      <c r="AB214">
        <v>870</v>
      </c>
      <c r="AC214">
        <v>433.14</v>
      </c>
      <c r="AD214">
        <v>0</v>
      </c>
      <c r="AE214">
        <v>0</v>
      </c>
      <c r="AF214">
        <v>65.71</v>
      </c>
      <c r="AG214">
        <v>11.6</v>
      </c>
      <c r="AH214">
        <v>0</v>
      </c>
      <c r="AI214">
        <v>1</v>
      </c>
      <c r="AJ214">
        <v>13.24</v>
      </c>
      <c r="AK214">
        <v>37.34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T214">
        <v>1.9</v>
      </c>
      <c r="AU214" t="s">
        <v>117</v>
      </c>
      <c r="AV214">
        <v>0</v>
      </c>
      <c r="AW214">
        <v>2</v>
      </c>
      <c r="AX214">
        <v>55668609</v>
      </c>
      <c r="AY214">
        <v>1</v>
      </c>
      <c r="AZ214">
        <v>0</v>
      </c>
      <c r="BA214">
        <v>225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Y214*Source!I99</f>
        <v>0.133</v>
      </c>
      <c r="CY214">
        <f>AB214</f>
        <v>870</v>
      </c>
      <c r="CZ214">
        <f>AF214</f>
        <v>65.71</v>
      </c>
      <c r="DA214">
        <f>AJ214</f>
        <v>13.24</v>
      </c>
      <c r="DB214">
        <f>ROUND((ROUND(AT214*CZ214,2)*ROUND(1.25,7)),2)</f>
        <v>156.06</v>
      </c>
      <c r="DC214">
        <f>ROUND((ROUND(AT214*AG214,2)*ROUND(1.25,7)),2)</f>
        <v>27.55</v>
      </c>
    </row>
    <row r="215" spans="1:107" ht="12.75">
      <c r="A215">
        <f>ROW(Source!A99)</f>
        <v>99</v>
      </c>
      <c r="B215">
        <v>55657272</v>
      </c>
      <c r="C215">
        <v>55668604</v>
      </c>
      <c r="D215">
        <v>53644939</v>
      </c>
      <c r="E215">
        <v>1</v>
      </c>
      <c r="F215">
        <v>1</v>
      </c>
      <c r="G215">
        <v>1</v>
      </c>
      <c r="H215">
        <v>3</v>
      </c>
      <c r="I215" t="s">
        <v>62</v>
      </c>
      <c r="J215" t="s">
        <v>64</v>
      </c>
      <c r="K215" t="s">
        <v>63</v>
      </c>
      <c r="L215">
        <v>1348</v>
      </c>
      <c r="N215">
        <v>1009</v>
      </c>
      <c r="O215" t="s">
        <v>41</v>
      </c>
      <c r="P215" t="s">
        <v>41</v>
      </c>
      <c r="Q215">
        <v>1000</v>
      </c>
      <c r="W215">
        <v>0</v>
      </c>
      <c r="X215">
        <v>-45966985</v>
      </c>
      <c r="Y215">
        <v>0.00168</v>
      </c>
      <c r="AA215">
        <v>80492.16</v>
      </c>
      <c r="AB215">
        <v>0</v>
      </c>
      <c r="AC215">
        <v>0</v>
      </c>
      <c r="AD215">
        <v>0</v>
      </c>
      <c r="AE215">
        <v>11978</v>
      </c>
      <c r="AF215">
        <v>0</v>
      </c>
      <c r="AG215">
        <v>0</v>
      </c>
      <c r="AH215">
        <v>0</v>
      </c>
      <c r="AI215">
        <v>6.72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T215">
        <v>0.00168</v>
      </c>
      <c r="AV215">
        <v>0</v>
      </c>
      <c r="AW215">
        <v>2</v>
      </c>
      <c r="AX215">
        <v>55668611</v>
      </c>
      <c r="AY215">
        <v>1</v>
      </c>
      <c r="AZ215">
        <v>0</v>
      </c>
      <c r="BA215">
        <v>227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Y215*Source!I99</f>
        <v>9.408000000000001E-05</v>
      </c>
      <c r="CY215">
        <f aca="true" t="shared" si="57" ref="CY215:CY220">AA215</f>
        <v>80492.16</v>
      </c>
      <c r="CZ215">
        <f aca="true" t="shared" si="58" ref="CZ215:CZ220">AE215</f>
        <v>11978</v>
      </c>
      <c r="DA215">
        <f aca="true" t="shared" si="59" ref="DA215:DA220">AI215</f>
        <v>6.72</v>
      </c>
      <c r="DB215">
        <f aca="true" t="shared" si="60" ref="DB215:DB220">ROUND(ROUND(AT215*CZ215,2),2)</f>
        <v>20.12</v>
      </c>
      <c r="DC215">
        <f aca="true" t="shared" si="61" ref="DC215:DC220">ROUND(ROUND(AT215*AG215,2),2)</f>
        <v>0</v>
      </c>
    </row>
    <row r="216" spans="1:107" ht="12.75">
      <c r="A216">
        <f>ROW(Source!A99)</f>
        <v>99</v>
      </c>
      <c r="B216">
        <v>55657272</v>
      </c>
      <c r="C216">
        <v>55668604</v>
      </c>
      <c r="D216">
        <v>53647861</v>
      </c>
      <c r="E216">
        <v>1</v>
      </c>
      <c r="F216">
        <v>1</v>
      </c>
      <c r="G216">
        <v>1</v>
      </c>
      <c r="H216">
        <v>3</v>
      </c>
      <c r="I216" t="s">
        <v>425</v>
      </c>
      <c r="J216" t="s">
        <v>426</v>
      </c>
      <c r="K216" t="s">
        <v>427</v>
      </c>
      <c r="L216">
        <v>1339</v>
      </c>
      <c r="N216">
        <v>1007</v>
      </c>
      <c r="O216" t="s">
        <v>46</v>
      </c>
      <c r="P216" t="s">
        <v>46</v>
      </c>
      <c r="Q216">
        <v>1</v>
      </c>
      <c r="W216">
        <v>0</v>
      </c>
      <c r="X216">
        <v>-1246511917</v>
      </c>
      <c r="Y216">
        <v>0.076</v>
      </c>
      <c r="AA216">
        <v>3077.76</v>
      </c>
      <c r="AB216">
        <v>0</v>
      </c>
      <c r="AC216">
        <v>0</v>
      </c>
      <c r="AD216">
        <v>0</v>
      </c>
      <c r="AE216">
        <v>458</v>
      </c>
      <c r="AF216">
        <v>0</v>
      </c>
      <c r="AG216">
        <v>0</v>
      </c>
      <c r="AH216">
        <v>0</v>
      </c>
      <c r="AI216">
        <v>6.72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T216">
        <v>0.076</v>
      </c>
      <c r="AV216">
        <v>0</v>
      </c>
      <c r="AW216">
        <v>2</v>
      </c>
      <c r="AX216">
        <v>55668612</v>
      </c>
      <c r="AY216">
        <v>1</v>
      </c>
      <c r="AZ216">
        <v>0</v>
      </c>
      <c r="BA216">
        <v>228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Y216*Source!I99</f>
        <v>0.004256</v>
      </c>
      <c r="CY216">
        <f t="shared" si="57"/>
        <v>3077.76</v>
      </c>
      <c r="CZ216">
        <f t="shared" si="58"/>
        <v>458</v>
      </c>
      <c r="DA216">
        <f t="shared" si="59"/>
        <v>6.72</v>
      </c>
      <c r="DB216">
        <f t="shared" si="60"/>
        <v>34.81</v>
      </c>
      <c r="DC216">
        <f t="shared" si="61"/>
        <v>0</v>
      </c>
    </row>
    <row r="217" spans="1:107" ht="12.75">
      <c r="A217">
        <f>ROW(Source!A99)</f>
        <v>99</v>
      </c>
      <c r="B217">
        <v>55657272</v>
      </c>
      <c r="C217">
        <v>55668604</v>
      </c>
      <c r="D217">
        <v>53660946</v>
      </c>
      <c r="E217">
        <v>1</v>
      </c>
      <c r="F217">
        <v>1</v>
      </c>
      <c r="G217">
        <v>1</v>
      </c>
      <c r="H217">
        <v>3</v>
      </c>
      <c r="I217" t="s">
        <v>428</v>
      </c>
      <c r="J217" t="s">
        <v>429</v>
      </c>
      <c r="K217" t="s">
        <v>430</v>
      </c>
      <c r="L217">
        <v>1346</v>
      </c>
      <c r="N217">
        <v>1009</v>
      </c>
      <c r="O217" t="s">
        <v>51</v>
      </c>
      <c r="P217" t="s">
        <v>51</v>
      </c>
      <c r="Q217">
        <v>1</v>
      </c>
      <c r="W217">
        <v>0</v>
      </c>
      <c r="X217">
        <v>1088760656</v>
      </c>
      <c r="Y217">
        <v>22.41</v>
      </c>
      <c r="AA217">
        <v>68.95</v>
      </c>
      <c r="AB217">
        <v>0</v>
      </c>
      <c r="AC217">
        <v>0</v>
      </c>
      <c r="AD217">
        <v>0</v>
      </c>
      <c r="AE217">
        <v>10.26</v>
      </c>
      <c r="AF217">
        <v>0</v>
      </c>
      <c r="AG217">
        <v>0</v>
      </c>
      <c r="AH217">
        <v>0</v>
      </c>
      <c r="AI217">
        <v>6.72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T217">
        <v>22.41</v>
      </c>
      <c r="AV217">
        <v>0</v>
      </c>
      <c r="AW217">
        <v>2</v>
      </c>
      <c r="AX217">
        <v>55668613</v>
      </c>
      <c r="AY217">
        <v>1</v>
      </c>
      <c r="AZ217">
        <v>0</v>
      </c>
      <c r="BA217">
        <v>229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Y217*Source!I99</f>
        <v>1.25496</v>
      </c>
      <c r="CY217">
        <f t="shared" si="57"/>
        <v>68.95</v>
      </c>
      <c r="CZ217">
        <f t="shared" si="58"/>
        <v>10.26</v>
      </c>
      <c r="DA217">
        <f t="shared" si="59"/>
        <v>6.72</v>
      </c>
      <c r="DB217">
        <f t="shared" si="60"/>
        <v>229.93</v>
      </c>
      <c r="DC217">
        <f t="shared" si="61"/>
        <v>0</v>
      </c>
    </row>
    <row r="218" spans="1:107" ht="12.75">
      <c r="A218">
        <f>ROW(Source!A99)</f>
        <v>99</v>
      </c>
      <c r="B218">
        <v>55657272</v>
      </c>
      <c r="C218">
        <v>55668604</v>
      </c>
      <c r="D218">
        <v>53666237</v>
      </c>
      <c r="E218">
        <v>1</v>
      </c>
      <c r="F218">
        <v>1</v>
      </c>
      <c r="G218">
        <v>1</v>
      </c>
      <c r="H218">
        <v>3</v>
      </c>
      <c r="I218" t="s">
        <v>431</v>
      </c>
      <c r="J218" t="s">
        <v>432</v>
      </c>
      <c r="K218" t="s">
        <v>433</v>
      </c>
      <c r="L218">
        <v>1339</v>
      </c>
      <c r="N218">
        <v>1007</v>
      </c>
      <c r="O218" t="s">
        <v>46</v>
      </c>
      <c r="P218" t="s">
        <v>46</v>
      </c>
      <c r="Q218">
        <v>1</v>
      </c>
      <c r="W218">
        <v>0</v>
      </c>
      <c r="X218">
        <v>-896765309</v>
      </c>
      <c r="Y218">
        <v>0.07</v>
      </c>
      <c r="AA218">
        <v>7392</v>
      </c>
      <c r="AB218">
        <v>0</v>
      </c>
      <c r="AC218">
        <v>0</v>
      </c>
      <c r="AD218">
        <v>0</v>
      </c>
      <c r="AE218">
        <v>1100</v>
      </c>
      <c r="AF218">
        <v>0</v>
      </c>
      <c r="AG218">
        <v>0</v>
      </c>
      <c r="AH218">
        <v>0</v>
      </c>
      <c r="AI218">
        <v>6.72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T218">
        <v>0.07</v>
      </c>
      <c r="AV218">
        <v>0</v>
      </c>
      <c r="AW218">
        <v>2</v>
      </c>
      <c r="AX218">
        <v>55668614</v>
      </c>
      <c r="AY218">
        <v>1</v>
      </c>
      <c r="AZ218">
        <v>0</v>
      </c>
      <c r="BA218">
        <v>230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Y218*Source!I99</f>
        <v>0.003920000000000001</v>
      </c>
      <c r="CY218">
        <f t="shared" si="57"/>
        <v>7392</v>
      </c>
      <c r="CZ218">
        <f t="shared" si="58"/>
        <v>1100</v>
      </c>
      <c r="DA218">
        <f t="shared" si="59"/>
        <v>6.72</v>
      </c>
      <c r="DB218">
        <f t="shared" si="60"/>
        <v>77</v>
      </c>
      <c r="DC218">
        <f t="shared" si="61"/>
        <v>0</v>
      </c>
    </row>
    <row r="219" spans="1:107" ht="12.75">
      <c r="A219">
        <f>ROW(Source!A99)</f>
        <v>99</v>
      </c>
      <c r="B219">
        <v>55657272</v>
      </c>
      <c r="C219">
        <v>55668604</v>
      </c>
      <c r="D219">
        <v>53674465</v>
      </c>
      <c r="E219">
        <v>1</v>
      </c>
      <c r="F219">
        <v>1</v>
      </c>
      <c r="G219">
        <v>1</v>
      </c>
      <c r="H219">
        <v>3</v>
      </c>
      <c r="I219" t="s">
        <v>434</v>
      </c>
      <c r="J219" t="s">
        <v>435</v>
      </c>
      <c r="K219" t="s">
        <v>436</v>
      </c>
      <c r="L219">
        <v>1296</v>
      </c>
      <c r="N219">
        <v>1002</v>
      </c>
      <c r="O219" t="s">
        <v>437</v>
      </c>
      <c r="P219" t="s">
        <v>437</v>
      </c>
      <c r="Q219">
        <v>1</v>
      </c>
      <c r="W219">
        <v>0</v>
      </c>
      <c r="X219">
        <v>-310994662</v>
      </c>
      <c r="Y219">
        <v>22.2</v>
      </c>
      <c r="AA219">
        <v>314.9</v>
      </c>
      <c r="AB219">
        <v>0</v>
      </c>
      <c r="AC219">
        <v>0</v>
      </c>
      <c r="AD219">
        <v>0</v>
      </c>
      <c r="AE219">
        <v>46.86</v>
      </c>
      <c r="AF219">
        <v>0</v>
      </c>
      <c r="AG219">
        <v>0</v>
      </c>
      <c r="AH219">
        <v>0</v>
      </c>
      <c r="AI219">
        <v>6.72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T219">
        <v>22.2</v>
      </c>
      <c r="AV219">
        <v>0</v>
      </c>
      <c r="AW219">
        <v>2</v>
      </c>
      <c r="AX219">
        <v>55668616</v>
      </c>
      <c r="AY219">
        <v>1</v>
      </c>
      <c r="AZ219">
        <v>0</v>
      </c>
      <c r="BA219">
        <v>232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Y219*Source!I99</f>
        <v>1.2432</v>
      </c>
      <c r="CY219">
        <f t="shared" si="57"/>
        <v>314.9</v>
      </c>
      <c r="CZ219">
        <f t="shared" si="58"/>
        <v>46.86</v>
      </c>
      <c r="DA219">
        <f t="shared" si="59"/>
        <v>6.72</v>
      </c>
      <c r="DB219">
        <f t="shared" si="60"/>
        <v>1040.29</v>
      </c>
      <c r="DC219">
        <f t="shared" si="61"/>
        <v>0</v>
      </c>
    </row>
    <row r="220" spans="1:107" ht="12.75">
      <c r="A220">
        <f>ROW(Source!A99)</f>
        <v>99</v>
      </c>
      <c r="B220">
        <v>55657272</v>
      </c>
      <c r="C220">
        <v>55668604</v>
      </c>
      <c r="D220">
        <v>0</v>
      </c>
      <c r="E220">
        <v>0</v>
      </c>
      <c r="F220">
        <v>1</v>
      </c>
      <c r="G220">
        <v>1</v>
      </c>
      <c r="H220">
        <v>3</v>
      </c>
      <c r="I220" t="s">
        <v>144</v>
      </c>
      <c r="K220" t="s">
        <v>478</v>
      </c>
      <c r="L220">
        <v>1429</v>
      </c>
      <c r="N220">
        <v>1013</v>
      </c>
      <c r="O220" t="s">
        <v>170</v>
      </c>
      <c r="P220" t="s">
        <v>170</v>
      </c>
      <c r="Q220">
        <v>1</v>
      </c>
      <c r="W220">
        <v>0</v>
      </c>
      <c r="X220">
        <v>-1944874667</v>
      </c>
      <c r="Y220">
        <v>35.714286</v>
      </c>
      <c r="AA220">
        <v>104160</v>
      </c>
      <c r="AB220">
        <v>0</v>
      </c>
      <c r="AC220">
        <v>0</v>
      </c>
      <c r="AD220">
        <v>0</v>
      </c>
      <c r="AE220">
        <v>104160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T220">
        <v>35.714286</v>
      </c>
      <c r="AV220">
        <v>0</v>
      </c>
      <c r="AW220">
        <v>1</v>
      </c>
      <c r="AX220">
        <v>-1</v>
      </c>
      <c r="AY220">
        <v>0</v>
      </c>
      <c r="AZ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Y220*Source!I99</f>
        <v>2.000000016</v>
      </c>
      <c r="CY220">
        <f t="shared" si="57"/>
        <v>104160</v>
      </c>
      <c r="CZ220">
        <f t="shared" si="58"/>
        <v>104160</v>
      </c>
      <c r="DA220">
        <f t="shared" si="59"/>
        <v>1</v>
      </c>
      <c r="DB220">
        <f t="shared" si="60"/>
        <v>3720000.03</v>
      </c>
      <c r="DC220">
        <f t="shared" si="61"/>
        <v>0</v>
      </c>
    </row>
    <row r="221" spans="1:107" ht="12.75">
      <c r="A221">
        <f>ROW(Source!A102)</f>
        <v>102</v>
      </c>
      <c r="B221">
        <v>55656218</v>
      </c>
      <c r="C221">
        <v>55668619</v>
      </c>
      <c r="D221">
        <v>53630105</v>
      </c>
      <c r="E221">
        <v>70</v>
      </c>
      <c r="F221">
        <v>1</v>
      </c>
      <c r="G221">
        <v>1</v>
      </c>
      <c r="H221">
        <v>1</v>
      </c>
      <c r="I221" t="s">
        <v>438</v>
      </c>
      <c r="K221" t="s">
        <v>439</v>
      </c>
      <c r="L221">
        <v>1191</v>
      </c>
      <c r="N221">
        <v>1013</v>
      </c>
      <c r="O221" t="s">
        <v>358</v>
      </c>
      <c r="P221" t="s">
        <v>358</v>
      </c>
      <c r="Q221">
        <v>1</v>
      </c>
      <c r="W221">
        <v>0</v>
      </c>
      <c r="X221">
        <v>1608048003</v>
      </c>
      <c r="Y221">
        <v>30.543999999999997</v>
      </c>
      <c r="AA221">
        <v>0</v>
      </c>
      <c r="AB221">
        <v>0</v>
      </c>
      <c r="AC221">
        <v>0</v>
      </c>
      <c r="AD221">
        <v>9.51</v>
      </c>
      <c r="AE221">
        <v>0</v>
      </c>
      <c r="AF221">
        <v>0</v>
      </c>
      <c r="AG221">
        <v>0</v>
      </c>
      <c r="AH221">
        <v>9.51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1</v>
      </c>
      <c r="AQ221">
        <v>0</v>
      </c>
      <c r="AR221">
        <v>0</v>
      </c>
      <c r="AT221">
        <v>26.56</v>
      </c>
      <c r="AU221" t="s">
        <v>118</v>
      </c>
      <c r="AV221">
        <v>1</v>
      </c>
      <c r="AW221">
        <v>2</v>
      </c>
      <c r="AX221">
        <v>55668620</v>
      </c>
      <c r="AY221">
        <v>1</v>
      </c>
      <c r="AZ221">
        <v>0</v>
      </c>
      <c r="BA221">
        <v>233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Y221*Source!I102</f>
        <v>0.61088</v>
      </c>
      <c r="CY221">
        <f>AD221</f>
        <v>9.51</v>
      </c>
      <c r="CZ221">
        <f>AH221</f>
        <v>9.51</v>
      </c>
      <c r="DA221">
        <f>AL221</f>
        <v>1</v>
      </c>
      <c r="DB221">
        <f>ROUND((ROUND(AT221*CZ221,2)*ROUND(1.15,7)),2)</f>
        <v>290.48</v>
      </c>
      <c r="DC221">
        <f>ROUND((ROUND(AT221*AG221,2)*ROUND(1.15,7)),2)</f>
        <v>0</v>
      </c>
    </row>
    <row r="222" spans="1:107" ht="12.75">
      <c r="A222">
        <f>ROW(Source!A102)</f>
        <v>102</v>
      </c>
      <c r="B222">
        <v>55656218</v>
      </c>
      <c r="C222">
        <v>55668619</v>
      </c>
      <c r="D222">
        <v>53630257</v>
      </c>
      <c r="E222">
        <v>70</v>
      </c>
      <c r="F222">
        <v>1</v>
      </c>
      <c r="G222">
        <v>1</v>
      </c>
      <c r="H222">
        <v>1</v>
      </c>
      <c r="I222" t="s">
        <v>359</v>
      </c>
      <c r="K222" t="s">
        <v>360</v>
      </c>
      <c r="L222">
        <v>1191</v>
      </c>
      <c r="N222">
        <v>1013</v>
      </c>
      <c r="O222" t="s">
        <v>358</v>
      </c>
      <c r="P222" t="s">
        <v>358</v>
      </c>
      <c r="Q222">
        <v>1</v>
      </c>
      <c r="W222">
        <v>0</v>
      </c>
      <c r="X222">
        <v>-1417349443</v>
      </c>
      <c r="Y222">
        <v>0.17500000000000002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1</v>
      </c>
      <c r="AQ222">
        <v>0</v>
      </c>
      <c r="AR222">
        <v>0</v>
      </c>
      <c r="AT222">
        <v>0.14</v>
      </c>
      <c r="AU222" t="s">
        <v>117</v>
      </c>
      <c r="AV222">
        <v>2</v>
      </c>
      <c r="AW222">
        <v>2</v>
      </c>
      <c r="AX222">
        <v>55668621</v>
      </c>
      <c r="AY222">
        <v>1</v>
      </c>
      <c r="AZ222">
        <v>0</v>
      </c>
      <c r="BA222">
        <v>234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Y222*Source!I102</f>
        <v>0.0035000000000000005</v>
      </c>
      <c r="CY222">
        <f>AD222</f>
        <v>0</v>
      </c>
      <c r="CZ222">
        <f>AH222</f>
        <v>0</v>
      </c>
      <c r="DA222">
        <f>AL222</f>
        <v>1</v>
      </c>
      <c r="DB222">
        <f>ROUND((ROUND(AT222*CZ222,2)*ROUND(1.25,7)),2)</f>
        <v>0</v>
      </c>
      <c r="DC222">
        <f>ROUND((ROUND(AT222*AG222,2)*ROUND(1.25,7)),2)</f>
        <v>0</v>
      </c>
    </row>
    <row r="223" spans="1:107" ht="12.75">
      <c r="A223">
        <f>ROW(Source!A102)</f>
        <v>102</v>
      </c>
      <c r="B223">
        <v>55656218</v>
      </c>
      <c r="C223">
        <v>55668619</v>
      </c>
      <c r="D223">
        <v>53791997</v>
      </c>
      <c r="E223">
        <v>1</v>
      </c>
      <c r="F223">
        <v>1</v>
      </c>
      <c r="G223">
        <v>1</v>
      </c>
      <c r="H223">
        <v>2</v>
      </c>
      <c r="I223" t="s">
        <v>361</v>
      </c>
      <c r="J223" t="s">
        <v>362</v>
      </c>
      <c r="K223" t="s">
        <v>363</v>
      </c>
      <c r="L223">
        <v>1367</v>
      </c>
      <c r="N223">
        <v>1011</v>
      </c>
      <c r="O223" t="s">
        <v>364</v>
      </c>
      <c r="P223" t="s">
        <v>364</v>
      </c>
      <c r="Q223">
        <v>1</v>
      </c>
      <c r="W223">
        <v>0</v>
      </c>
      <c r="X223">
        <v>-430484415</v>
      </c>
      <c r="Y223">
        <v>0.11249999999999999</v>
      </c>
      <c r="AA223">
        <v>0</v>
      </c>
      <c r="AB223">
        <v>115.4</v>
      </c>
      <c r="AC223">
        <v>13.5</v>
      </c>
      <c r="AD223">
        <v>0</v>
      </c>
      <c r="AE223">
        <v>0</v>
      </c>
      <c r="AF223">
        <v>115.4</v>
      </c>
      <c r="AG223">
        <v>13.5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1</v>
      </c>
      <c r="AQ223">
        <v>0</v>
      </c>
      <c r="AR223">
        <v>0</v>
      </c>
      <c r="AT223">
        <v>0.09</v>
      </c>
      <c r="AU223" t="s">
        <v>117</v>
      </c>
      <c r="AV223">
        <v>0</v>
      </c>
      <c r="AW223">
        <v>2</v>
      </c>
      <c r="AX223">
        <v>55668622</v>
      </c>
      <c r="AY223">
        <v>1</v>
      </c>
      <c r="AZ223">
        <v>0</v>
      </c>
      <c r="BA223">
        <v>235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Y223*Source!I102</f>
        <v>0.00225</v>
      </c>
      <c r="CY223">
        <f>AB223</f>
        <v>115.4</v>
      </c>
      <c r="CZ223">
        <f>AF223</f>
        <v>115.4</v>
      </c>
      <c r="DA223">
        <f>AJ223</f>
        <v>1</v>
      </c>
      <c r="DB223">
        <f>ROUND((ROUND(AT223*CZ223,2)*ROUND(1.25,7)),2)</f>
        <v>12.99</v>
      </c>
      <c r="DC223">
        <f>ROUND((ROUND(AT223*AG223,2)*ROUND(1.25,7)),2)</f>
        <v>1.53</v>
      </c>
    </row>
    <row r="224" spans="1:107" ht="12.75">
      <c r="A224">
        <f>ROW(Source!A102)</f>
        <v>102</v>
      </c>
      <c r="B224">
        <v>55656218</v>
      </c>
      <c r="C224">
        <v>55668619</v>
      </c>
      <c r="D224">
        <v>53792927</v>
      </c>
      <c r="E224">
        <v>1</v>
      </c>
      <c r="F224">
        <v>1</v>
      </c>
      <c r="G224">
        <v>1</v>
      </c>
      <c r="H224">
        <v>2</v>
      </c>
      <c r="I224" t="s">
        <v>368</v>
      </c>
      <c r="J224" t="s">
        <v>369</v>
      </c>
      <c r="K224" t="s">
        <v>370</v>
      </c>
      <c r="L224">
        <v>1367</v>
      </c>
      <c r="N224">
        <v>1011</v>
      </c>
      <c r="O224" t="s">
        <v>364</v>
      </c>
      <c r="P224" t="s">
        <v>364</v>
      </c>
      <c r="Q224">
        <v>1</v>
      </c>
      <c r="W224">
        <v>0</v>
      </c>
      <c r="X224">
        <v>509054691</v>
      </c>
      <c r="Y224">
        <v>0.0625</v>
      </c>
      <c r="AA224">
        <v>0</v>
      </c>
      <c r="AB224">
        <v>65.71</v>
      </c>
      <c r="AC224">
        <v>11.6</v>
      </c>
      <c r="AD224">
        <v>0</v>
      </c>
      <c r="AE224">
        <v>0</v>
      </c>
      <c r="AF224">
        <v>65.71</v>
      </c>
      <c r="AG224">
        <v>11.6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1</v>
      </c>
      <c r="AQ224">
        <v>0</v>
      </c>
      <c r="AR224">
        <v>0</v>
      </c>
      <c r="AT224">
        <v>0.05</v>
      </c>
      <c r="AU224" t="s">
        <v>117</v>
      </c>
      <c r="AV224">
        <v>0</v>
      </c>
      <c r="AW224">
        <v>2</v>
      </c>
      <c r="AX224">
        <v>55668623</v>
      </c>
      <c r="AY224">
        <v>1</v>
      </c>
      <c r="AZ224">
        <v>0</v>
      </c>
      <c r="BA224">
        <v>236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Y224*Source!I102</f>
        <v>0.00125</v>
      </c>
      <c r="CY224">
        <f>AB224</f>
        <v>65.71</v>
      </c>
      <c r="CZ224">
        <f>AF224</f>
        <v>65.71</v>
      </c>
      <c r="DA224">
        <f>AJ224</f>
        <v>1</v>
      </c>
      <c r="DB224">
        <f>ROUND((ROUND(AT224*CZ224,2)*ROUND(1.25,7)),2)</f>
        <v>4.11</v>
      </c>
      <c r="DC224">
        <f>ROUND((ROUND(AT224*AG224,2)*ROUND(1.25,7)),2)</f>
        <v>0.73</v>
      </c>
    </row>
    <row r="225" spans="1:107" ht="12.75">
      <c r="A225">
        <f>ROW(Source!A102)</f>
        <v>102</v>
      </c>
      <c r="B225">
        <v>55656218</v>
      </c>
      <c r="C225">
        <v>55668619</v>
      </c>
      <c r="D225">
        <v>53642567</v>
      </c>
      <c r="E225">
        <v>1</v>
      </c>
      <c r="F225">
        <v>1</v>
      </c>
      <c r="G225">
        <v>1</v>
      </c>
      <c r="H225">
        <v>3</v>
      </c>
      <c r="I225" t="s">
        <v>405</v>
      </c>
      <c r="J225" t="s">
        <v>406</v>
      </c>
      <c r="K225" t="s">
        <v>407</v>
      </c>
      <c r="L225">
        <v>1383</v>
      </c>
      <c r="N225">
        <v>1013</v>
      </c>
      <c r="O225" t="s">
        <v>408</v>
      </c>
      <c r="P225" t="s">
        <v>408</v>
      </c>
      <c r="Q225">
        <v>1</v>
      </c>
      <c r="W225">
        <v>0</v>
      </c>
      <c r="X225">
        <v>-180864722</v>
      </c>
      <c r="Y225">
        <v>5.5</v>
      </c>
      <c r="AA225">
        <v>0.4</v>
      </c>
      <c r="AB225">
        <v>0</v>
      </c>
      <c r="AC225">
        <v>0</v>
      </c>
      <c r="AD225">
        <v>0</v>
      </c>
      <c r="AE225">
        <v>0.4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5.5</v>
      </c>
      <c r="AV225">
        <v>0</v>
      </c>
      <c r="AW225">
        <v>2</v>
      </c>
      <c r="AX225">
        <v>55668624</v>
      </c>
      <c r="AY225">
        <v>1</v>
      </c>
      <c r="AZ225">
        <v>0</v>
      </c>
      <c r="BA225">
        <v>237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Y225*Source!I102</f>
        <v>0.11</v>
      </c>
      <c r="CY225">
        <f>AA225</f>
        <v>0.4</v>
      </c>
      <c r="CZ225">
        <f>AE225</f>
        <v>0.4</v>
      </c>
      <c r="DA225">
        <f>AI225</f>
        <v>1</v>
      </c>
      <c r="DB225">
        <f>ROUND(ROUND(AT225*CZ225,2),2)</f>
        <v>2.2</v>
      </c>
      <c r="DC225">
        <f>ROUND(ROUND(AT225*AG225,2),2)</f>
        <v>0</v>
      </c>
    </row>
    <row r="226" spans="1:107" ht="12.75">
      <c r="A226">
        <f>ROW(Source!A103)</f>
        <v>103</v>
      </c>
      <c r="B226">
        <v>55657272</v>
      </c>
      <c r="C226">
        <v>55668619</v>
      </c>
      <c r="D226">
        <v>53630105</v>
      </c>
      <c r="E226">
        <v>70</v>
      </c>
      <c r="F226">
        <v>1</v>
      </c>
      <c r="G226">
        <v>1</v>
      </c>
      <c r="H226">
        <v>1</v>
      </c>
      <c r="I226" t="s">
        <v>438</v>
      </c>
      <c r="K226" t="s">
        <v>439</v>
      </c>
      <c r="L226">
        <v>1191</v>
      </c>
      <c r="N226">
        <v>1013</v>
      </c>
      <c r="O226" t="s">
        <v>358</v>
      </c>
      <c r="P226" t="s">
        <v>358</v>
      </c>
      <c r="Q226">
        <v>1</v>
      </c>
      <c r="W226">
        <v>0</v>
      </c>
      <c r="X226">
        <v>1608048003</v>
      </c>
      <c r="Y226">
        <v>30.543999999999997</v>
      </c>
      <c r="AA226">
        <v>0</v>
      </c>
      <c r="AB226">
        <v>0</v>
      </c>
      <c r="AC226">
        <v>0</v>
      </c>
      <c r="AD226">
        <v>355.1</v>
      </c>
      <c r="AE226">
        <v>0</v>
      </c>
      <c r="AF226">
        <v>0</v>
      </c>
      <c r="AG226">
        <v>0</v>
      </c>
      <c r="AH226">
        <v>9.51</v>
      </c>
      <c r="AI226">
        <v>1</v>
      </c>
      <c r="AJ226">
        <v>1</v>
      </c>
      <c r="AK226">
        <v>1</v>
      </c>
      <c r="AL226">
        <v>37.34</v>
      </c>
      <c r="AN226">
        <v>0</v>
      </c>
      <c r="AO226">
        <v>1</v>
      </c>
      <c r="AP226">
        <v>1</v>
      </c>
      <c r="AQ226">
        <v>0</v>
      </c>
      <c r="AR226">
        <v>0</v>
      </c>
      <c r="AT226">
        <v>26.56</v>
      </c>
      <c r="AU226" t="s">
        <v>118</v>
      </c>
      <c r="AV226">
        <v>1</v>
      </c>
      <c r="AW226">
        <v>2</v>
      </c>
      <c r="AX226">
        <v>55668620</v>
      </c>
      <c r="AY226">
        <v>1</v>
      </c>
      <c r="AZ226">
        <v>0</v>
      </c>
      <c r="BA226">
        <v>239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Y226*Source!I103</f>
        <v>0.61088</v>
      </c>
      <c r="CY226">
        <f>AD226</f>
        <v>355.1</v>
      </c>
      <c r="CZ226">
        <f>AH226</f>
        <v>9.51</v>
      </c>
      <c r="DA226">
        <f>AL226</f>
        <v>37.34</v>
      </c>
      <c r="DB226">
        <f>ROUND((ROUND(AT226*CZ226,2)*ROUND(1.15,7)),2)</f>
        <v>290.48</v>
      </c>
      <c r="DC226">
        <f>ROUND((ROUND(AT226*AG226,2)*ROUND(1.15,7)),2)</f>
        <v>0</v>
      </c>
    </row>
    <row r="227" spans="1:107" ht="12.75">
      <c r="A227">
        <f>ROW(Source!A103)</f>
        <v>103</v>
      </c>
      <c r="B227">
        <v>55657272</v>
      </c>
      <c r="C227">
        <v>55668619</v>
      </c>
      <c r="D227">
        <v>53630257</v>
      </c>
      <c r="E227">
        <v>70</v>
      </c>
      <c r="F227">
        <v>1</v>
      </c>
      <c r="G227">
        <v>1</v>
      </c>
      <c r="H227">
        <v>1</v>
      </c>
      <c r="I227" t="s">
        <v>359</v>
      </c>
      <c r="K227" t="s">
        <v>360</v>
      </c>
      <c r="L227">
        <v>1191</v>
      </c>
      <c r="N227">
        <v>1013</v>
      </c>
      <c r="O227" t="s">
        <v>358</v>
      </c>
      <c r="P227" t="s">
        <v>358</v>
      </c>
      <c r="Q227">
        <v>1</v>
      </c>
      <c r="W227">
        <v>0</v>
      </c>
      <c r="X227">
        <v>-1417349443</v>
      </c>
      <c r="Y227">
        <v>0.17500000000000002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37.34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T227">
        <v>0.14</v>
      </c>
      <c r="AU227" t="s">
        <v>117</v>
      </c>
      <c r="AV227">
        <v>2</v>
      </c>
      <c r="AW227">
        <v>2</v>
      </c>
      <c r="AX227">
        <v>55668621</v>
      </c>
      <c r="AY227">
        <v>1</v>
      </c>
      <c r="AZ227">
        <v>0</v>
      </c>
      <c r="BA227">
        <v>240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Y227*Source!I103</f>
        <v>0.0035000000000000005</v>
      </c>
      <c r="CY227">
        <f>AD227</f>
        <v>0</v>
      </c>
      <c r="CZ227">
        <f>AH227</f>
        <v>0</v>
      </c>
      <c r="DA227">
        <f>AL227</f>
        <v>1</v>
      </c>
      <c r="DB227">
        <f>ROUND((ROUND(AT227*CZ227,2)*ROUND(1.25,7)),2)</f>
        <v>0</v>
      </c>
      <c r="DC227">
        <f>ROUND((ROUND(AT227*AG227,2)*ROUND(1.25,7)),2)</f>
        <v>0</v>
      </c>
    </row>
    <row r="228" spans="1:107" ht="12.75">
      <c r="A228">
        <f>ROW(Source!A103)</f>
        <v>103</v>
      </c>
      <c r="B228">
        <v>55657272</v>
      </c>
      <c r="C228">
        <v>55668619</v>
      </c>
      <c r="D228">
        <v>53791997</v>
      </c>
      <c r="E228">
        <v>1</v>
      </c>
      <c r="F228">
        <v>1</v>
      </c>
      <c r="G228">
        <v>1</v>
      </c>
      <c r="H228">
        <v>2</v>
      </c>
      <c r="I228" t="s">
        <v>361</v>
      </c>
      <c r="J228" t="s">
        <v>362</v>
      </c>
      <c r="K228" t="s">
        <v>363</v>
      </c>
      <c r="L228">
        <v>1367</v>
      </c>
      <c r="N228">
        <v>1011</v>
      </c>
      <c r="O228" t="s">
        <v>364</v>
      </c>
      <c r="P228" t="s">
        <v>364</v>
      </c>
      <c r="Q228">
        <v>1</v>
      </c>
      <c r="W228">
        <v>0</v>
      </c>
      <c r="X228">
        <v>-430484415</v>
      </c>
      <c r="Y228">
        <v>0.11249999999999999</v>
      </c>
      <c r="AA228">
        <v>0</v>
      </c>
      <c r="AB228">
        <v>1527.9</v>
      </c>
      <c r="AC228">
        <v>504.09</v>
      </c>
      <c r="AD228">
        <v>0</v>
      </c>
      <c r="AE228">
        <v>0</v>
      </c>
      <c r="AF228">
        <v>115.4</v>
      </c>
      <c r="AG228">
        <v>13.5</v>
      </c>
      <c r="AH228">
        <v>0</v>
      </c>
      <c r="AI228">
        <v>1</v>
      </c>
      <c r="AJ228">
        <v>13.24</v>
      </c>
      <c r="AK228">
        <v>37.34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T228">
        <v>0.09</v>
      </c>
      <c r="AU228" t="s">
        <v>117</v>
      </c>
      <c r="AV228">
        <v>0</v>
      </c>
      <c r="AW228">
        <v>2</v>
      </c>
      <c r="AX228">
        <v>55668622</v>
      </c>
      <c r="AY228">
        <v>1</v>
      </c>
      <c r="AZ228">
        <v>0</v>
      </c>
      <c r="BA228">
        <v>241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Y228*Source!I103</f>
        <v>0.00225</v>
      </c>
      <c r="CY228">
        <f>AB228</f>
        <v>1527.9</v>
      </c>
      <c r="CZ228">
        <f>AF228</f>
        <v>115.4</v>
      </c>
      <c r="DA228">
        <f>AJ228</f>
        <v>13.24</v>
      </c>
      <c r="DB228">
        <f>ROUND((ROUND(AT228*CZ228,2)*ROUND(1.25,7)),2)</f>
        <v>12.99</v>
      </c>
      <c r="DC228">
        <f>ROUND((ROUND(AT228*AG228,2)*ROUND(1.25,7)),2)</f>
        <v>1.53</v>
      </c>
    </row>
    <row r="229" spans="1:107" ht="12.75">
      <c r="A229">
        <f>ROW(Source!A103)</f>
        <v>103</v>
      </c>
      <c r="B229">
        <v>55657272</v>
      </c>
      <c r="C229">
        <v>55668619</v>
      </c>
      <c r="D229">
        <v>53792927</v>
      </c>
      <c r="E229">
        <v>1</v>
      </c>
      <c r="F229">
        <v>1</v>
      </c>
      <c r="G229">
        <v>1</v>
      </c>
      <c r="H229">
        <v>2</v>
      </c>
      <c r="I229" t="s">
        <v>368</v>
      </c>
      <c r="J229" t="s">
        <v>369</v>
      </c>
      <c r="K229" t="s">
        <v>370</v>
      </c>
      <c r="L229">
        <v>1367</v>
      </c>
      <c r="N229">
        <v>1011</v>
      </c>
      <c r="O229" t="s">
        <v>364</v>
      </c>
      <c r="P229" t="s">
        <v>364</v>
      </c>
      <c r="Q229">
        <v>1</v>
      </c>
      <c r="W229">
        <v>0</v>
      </c>
      <c r="X229">
        <v>509054691</v>
      </c>
      <c r="Y229">
        <v>0.0625</v>
      </c>
      <c r="AA229">
        <v>0</v>
      </c>
      <c r="AB229">
        <v>870</v>
      </c>
      <c r="AC229">
        <v>433.14</v>
      </c>
      <c r="AD229">
        <v>0</v>
      </c>
      <c r="AE229">
        <v>0</v>
      </c>
      <c r="AF229">
        <v>65.71</v>
      </c>
      <c r="AG229">
        <v>11.6</v>
      </c>
      <c r="AH229">
        <v>0</v>
      </c>
      <c r="AI229">
        <v>1</v>
      </c>
      <c r="AJ229">
        <v>13.24</v>
      </c>
      <c r="AK229">
        <v>37.34</v>
      </c>
      <c r="AL229">
        <v>1</v>
      </c>
      <c r="AN229">
        <v>0</v>
      </c>
      <c r="AO229">
        <v>1</v>
      </c>
      <c r="AP229">
        <v>1</v>
      </c>
      <c r="AQ229">
        <v>0</v>
      </c>
      <c r="AR229">
        <v>0</v>
      </c>
      <c r="AT229">
        <v>0.05</v>
      </c>
      <c r="AU229" t="s">
        <v>117</v>
      </c>
      <c r="AV229">
        <v>0</v>
      </c>
      <c r="AW229">
        <v>2</v>
      </c>
      <c r="AX229">
        <v>55668623</v>
      </c>
      <c r="AY229">
        <v>1</v>
      </c>
      <c r="AZ229">
        <v>0</v>
      </c>
      <c r="BA229">
        <v>242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Y229*Source!I103</f>
        <v>0.00125</v>
      </c>
      <c r="CY229">
        <f>AB229</f>
        <v>870</v>
      </c>
      <c r="CZ229">
        <f>AF229</f>
        <v>65.71</v>
      </c>
      <c r="DA229">
        <f>AJ229</f>
        <v>13.24</v>
      </c>
      <c r="DB229">
        <f>ROUND((ROUND(AT229*CZ229,2)*ROUND(1.25,7)),2)</f>
        <v>4.11</v>
      </c>
      <c r="DC229">
        <f>ROUND((ROUND(AT229*AG229,2)*ROUND(1.25,7)),2)</f>
        <v>0.73</v>
      </c>
    </row>
    <row r="230" spans="1:107" ht="12.75">
      <c r="A230">
        <f>ROW(Source!A103)</f>
        <v>103</v>
      </c>
      <c r="B230">
        <v>55657272</v>
      </c>
      <c r="C230">
        <v>55668619</v>
      </c>
      <c r="D230">
        <v>53642567</v>
      </c>
      <c r="E230">
        <v>1</v>
      </c>
      <c r="F230">
        <v>1</v>
      </c>
      <c r="G230">
        <v>1</v>
      </c>
      <c r="H230">
        <v>3</v>
      </c>
      <c r="I230" t="s">
        <v>405</v>
      </c>
      <c r="J230" t="s">
        <v>406</v>
      </c>
      <c r="K230" t="s">
        <v>407</v>
      </c>
      <c r="L230">
        <v>1383</v>
      </c>
      <c r="N230">
        <v>1013</v>
      </c>
      <c r="O230" t="s">
        <v>408</v>
      </c>
      <c r="P230" t="s">
        <v>408</v>
      </c>
      <c r="Q230">
        <v>1</v>
      </c>
      <c r="W230">
        <v>0</v>
      </c>
      <c r="X230">
        <v>-180864722</v>
      </c>
      <c r="Y230">
        <v>5.5</v>
      </c>
      <c r="AA230">
        <v>2.69</v>
      </c>
      <c r="AB230">
        <v>0</v>
      </c>
      <c r="AC230">
        <v>0</v>
      </c>
      <c r="AD230">
        <v>0</v>
      </c>
      <c r="AE230">
        <v>0.4</v>
      </c>
      <c r="AF230">
        <v>0</v>
      </c>
      <c r="AG230">
        <v>0</v>
      </c>
      <c r="AH230">
        <v>0</v>
      </c>
      <c r="AI230">
        <v>6.72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T230">
        <v>5.5</v>
      </c>
      <c r="AV230">
        <v>0</v>
      </c>
      <c r="AW230">
        <v>2</v>
      </c>
      <c r="AX230">
        <v>55668624</v>
      </c>
      <c r="AY230">
        <v>1</v>
      </c>
      <c r="AZ230">
        <v>0</v>
      </c>
      <c r="BA230">
        <v>243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Y230*Source!I103</f>
        <v>0.11</v>
      </c>
      <c r="CY230">
        <f>AA230</f>
        <v>2.69</v>
      </c>
      <c r="CZ230">
        <f>AE230</f>
        <v>0.4</v>
      </c>
      <c r="DA230">
        <f>AI230</f>
        <v>6.72</v>
      </c>
      <c r="DB230">
        <f>ROUND(ROUND(AT230*CZ230,2),2)</f>
        <v>2.2</v>
      </c>
      <c r="DC230">
        <f>ROUND(ROUND(AT230*AG230,2),2)</f>
        <v>0</v>
      </c>
    </row>
    <row r="231" spans="1:107" ht="12.75">
      <c r="A231">
        <f>ROW(Source!A140)</f>
        <v>140</v>
      </c>
      <c r="B231">
        <v>55656218</v>
      </c>
      <c r="C231">
        <v>55656995</v>
      </c>
      <c r="D231">
        <v>9670109</v>
      </c>
      <c r="E231">
        <v>1</v>
      </c>
      <c r="F231">
        <v>1</v>
      </c>
      <c r="G231">
        <v>1</v>
      </c>
      <c r="H231">
        <v>1</v>
      </c>
      <c r="I231" t="s">
        <v>440</v>
      </c>
      <c r="K231" t="s">
        <v>441</v>
      </c>
      <c r="L231">
        <v>1369</v>
      </c>
      <c r="N231">
        <v>1013</v>
      </c>
      <c r="O231" t="s">
        <v>442</v>
      </c>
      <c r="P231" t="s">
        <v>442</v>
      </c>
      <c r="Q231">
        <v>1</v>
      </c>
      <c r="W231">
        <v>0</v>
      </c>
      <c r="X231">
        <v>317644410</v>
      </c>
      <c r="Y231">
        <v>0.5777</v>
      </c>
      <c r="AA231">
        <v>0</v>
      </c>
      <c r="AB231">
        <v>0</v>
      </c>
      <c r="AC231">
        <v>0</v>
      </c>
      <c r="AD231">
        <v>7.19</v>
      </c>
      <c r="AE231">
        <v>0</v>
      </c>
      <c r="AF231">
        <v>0</v>
      </c>
      <c r="AG231">
        <v>0</v>
      </c>
      <c r="AH231">
        <v>7.19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T231">
        <v>0.5777</v>
      </c>
      <c r="AV231">
        <v>1</v>
      </c>
      <c r="AW231">
        <v>1</v>
      </c>
      <c r="AX231">
        <v>-1</v>
      </c>
      <c r="AY231">
        <v>0</v>
      </c>
      <c r="AZ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Y231*Source!I140</f>
        <v>1.1554</v>
      </c>
      <c r="CY231">
        <f>AD231</f>
        <v>7.19</v>
      </c>
      <c r="CZ231">
        <f>AH231</f>
        <v>7.19</v>
      </c>
      <c r="DA231">
        <f>AL231</f>
        <v>1</v>
      </c>
      <c r="DB231">
        <f>ROUND(ROUND(AT231*CZ231,2),2)</f>
        <v>4.15</v>
      </c>
      <c r="DC231">
        <f>ROUND(ROUND(AT231*AG231,2),2)</f>
        <v>0</v>
      </c>
    </row>
    <row r="232" spans="1:107" ht="12.75">
      <c r="A232">
        <f>ROW(Source!A140)</f>
        <v>140</v>
      </c>
      <c r="B232">
        <v>55656218</v>
      </c>
      <c r="C232">
        <v>55656995</v>
      </c>
      <c r="D232">
        <v>53792933</v>
      </c>
      <c r="E232">
        <v>1</v>
      </c>
      <c r="F232">
        <v>1</v>
      </c>
      <c r="G232">
        <v>1</v>
      </c>
      <c r="H232">
        <v>2</v>
      </c>
      <c r="I232" t="s">
        <v>443</v>
      </c>
      <c r="J232" t="s">
        <v>444</v>
      </c>
      <c r="K232" t="s">
        <v>445</v>
      </c>
      <c r="L232">
        <v>1367</v>
      </c>
      <c r="N232">
        <v>1011</v>
      </c>
      <c r="O232" t="s">
        <v>364</v>
      </c>
      <c r="P232" t="s">
        <v>364</v>
      </c>
      <c r="Q232">
        <v>1</v>
      </c>
      <c r="W232">
        <v>0</v>
      </c>
      <c r="X232">
        <v>1222335095</v>
      </c>
      <c r="Y232">
        <v>0.29</v>
      </c>
      <c r="AA232">
        <v>0</v>
      </c>
      <c r="AB232">
        <v>89.54</v>
      </c>
      <c r="AC232">
        <v>11.6</v>
      </c>
      <c r="AD232">
        <v>0</v>
      </c>
      <c r="AE232">
        <v>0</v>
      </c>
      <c r="AF232">
        <v>89.54</v>
      </c>
      <c r="AG232">
        <v>11.6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T232">
        <v>0.29</v>
      </c>
      <c r="AV232">
        <v>0</v>
      </c>
      <c r="AW232">
        <v>1</v>
      </c>
      <c r="AX232">
        <v>-1</v>
      </c>
      <c r="AY232">
        <v>0</v>
      </c>
      <c r="AZ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Y232*Source!I140</f>
        <v>0.58</v>
      </c>
      <c r="CY232">
        <f>AB232</f>
        <v>89.54</v>
      </c>
      <c r="CZ232">
        <f>AF232</f>
        <v>89.54</v>
      </c>
      <c r="DA232">
        <f>AJ232</f>
        <v>1</v>
      </c>
      <c r="DB232">
        <f>ROUND(ROUND(AT232*CZ232,2),2)</f>
        <v>25.97</v>
      </c>
      <c r="DC232">
        <f>ROUND(ROUND(AT232*AG232,2),2)</f>
        <v>3.36</v>
      </c>
    </row>
    <row r="233" spans="1:107" ht="12.75">
      <c r="A233">
        <f>ROW(Source!A141)</f>
        <v>141</v>
      </c>
      <c r="B233">
        <v>55657272</v>
      </c>
      <c r="C233">
        <v>55656995</v>
      </c>
      <c r="D233">
        <v>9670109</v>
      </c>
      <c r="E233">
        <v>1</v>
      </c>
      <c r="F233">
        <v>1</v>
      </c>
      <c r="G233">
        <v>1</v>
      </c>
      <c r="H233">
        <v>1</v>
      </c>
      <c r="I233" t="s">
        <v>440</v>
      </c>
      <c r="K233" t="s">
        <v>441</v>
      </c>
      <c r="L233">
        <v>1369</v>
      </c>
      <c r="N233">
        <v>1013</v>
      </c>
      <c r="O233" t="s">
        <v>442</v>
      </c>
      <c r="P233" t="s">
        <v>442</v>
      </c>
      <c r="Q233">
        <v>1</v>
      </c>
      <c r="W233">
        <v>0</v>
      </c>
      <c r="X233">
        <v>317644410</v>
      </c>
      <c r="Y233">
        <v>0.5777</v>
      </c>
      <c r="AA233">
        <v>0</v>
      </c>
      <c r="AB233">
        <v>0</v>
      </c>
      <c r="AC233">
        <v>0</v>
      </c>
      <c r="AD233">
        <v>268.47</v>
      </c>
      <c r="AE233">
        <v>0</v>
      </c>
      <c r="AF233">
        <v>0</v>
      </c>
      <c r="AG233">
        <v>0</v>
      </c>
      <c r="AH233">
        <v>7.19</v>
      </c>
      <c r="AI233">
        <v>1</v>
      </c>
      <c r="AJ233">
        <v>1</v>
      </c>
      <c r="AK233">
        <v>1</v>
      </c>
      <c r="AL233">
        <v>37.34</v>
      </c>
      <c r="AN233">
        <v>0</v>
      </c>
      <c r="AO233">
        <v>1</v>
      </c>
      <c r="AP233">
        <v>0</v>
      </c>
      <c r="AQ233">
        <v>0</v>
      </c>
      <c r="AR233">
        <v>0</v>
      </c>
      <c r="AT233">
        <v>0.5777</v>
      </c>
      <c r="AV233">
        <v>1</v>
      </c>
      <c r="AW233">
        <v>1</v>
      </c>
      <c r="AX233">
        <v>-1</v>
      </c>
      <c r="AY233">
        <v>0</v>
      </c>
      <c r="AZ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Y233*Source!I141</f>
        <v>1.1554</v>
      </c>
      <c r="CY233">
        <f>AD233</f>
        <v>268.47</v>
      </c>
      <c r="CZ233">
        <f>AH233</f>
        <v>7.19</v>
      </c>
      <c r="DA233">
        <f>AL233</f>
        <v>37.34</v>
      </c>
      <c r="DB233">
        <f>ROUND(ROUND(AT233*CZ233,2),2)</f>
        <v>4.15</v>
      </c>
      <c r="DC233">
        <f>ROUND(ROUND(AT233*AG233,2),2)</f>
        <v>0</v>
      </c>
    </row>
    <row r="234" spans="1:107" ht="12.75">
      <c r="A234">
        <f>ROW(Source!A141)</f>
        <v>141</v>
      </c>
      <c r="B234">
        <v>55657272</v>
      </c>
      <c r="C234">
        <v>55656995</v>
      </c>
      <c r="D234">
        <v>53792933</v>
      </c>
      <c r="E234">
        <v>1</v>
      </c>
      <c r="F234">
        <v>1</v>
      </c>
      <c r="G234">
        <v>1</v>
      </c>
      <c r="H234">
        <v>2</v>
      </c>
      <c r="I234" t="s">
        <v>443</v>
      </c>
      <c r="J234" t="s">
        <v>444</v>
      </c>
      <c r="K234" t="s">
        <v>445</v>
      </c>
      <c r="L234">
        <v>1367</v>
      </c>
      <c r="N234">
        <v>1011</v>
      </c>
      <c r="O234" t="s">
        <v>364</v>
      </c>
      <c r="P234" t="s">
        <v>364</v>
      </c>
      <c r="Q234">
        <v>1</v>
      </c>
      <c r="W234">
        <v>0</v>
      </c>
      <c r="X234">
        <v>1222335095</v>
      </c>
      <c r="Y234">
        <v>0.29</v>
      </c>
      <c r="AA234">
        <v>0</v>
      </c>
      <c r="AB234">
        <v>1185.51</v>
      </c>
      <c r="AC234">
        <v>433.14</v>
      </c>
      <c r="AD234">
        <v>0</v>
      </c>
      <c r="AE234">
        <v>0</v>
      </c>
      <c r="AF234">
        <v>89.54</v>
      </c>
      <c r="AG234">
        <v>11.6</v>
      </c>
      <c r="AH234">
        <v>0</v>
      </c>
      <c r="AI234">
        <v>1</v>
      </c>
      <c r="AJ234">
        <v>13.24</v>
      </c>
      <c r="AK234">
        <v>37.34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T234">
        <v>0.29</v>
      </c>
      <c r="AV234">
        <v>0</v>
      </c>
      <c r="AW234">
        <v>1</v>
      </c>
      <c r="AX234">
        <v>-1</v>
      </c>
      <c r="AY234">
        <v>0</v>
      </c>
      <c r="AZ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Y234*Source!I141</f>
        <v>0.58</v>
      </c>
      <c r="CY234">
        <f>AB234</f>
        <v>1185.51</v>
      </c>
      <c r="CZ234">
        <f>AF234</f>
        <v>89.54</v>
      </c>
      <c r="DA234">
        <f>AJ234</f>
        <v>13.24</v>
      </c>
      <c r="DB234">
        <f>ROUND(ROUND(AT234*CZ234,2),2)</f>
        <v>25.97</v>
      </c>
      <c r="DC234">
        <f>ROUND(ROUND(AT234*AG234,2),2)</f>
        <v>3.36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2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55657443</v>
      </c>
      <c r="C1">
        <v>55657442</v>
      </c>
      <c r="D1">
        <v>53630123</v>
      </c>
      <c r="E1">
        <v>70</v>
      </c>
      <c r="F1">
        <v>1</v>
      </c>
      <c r="G1">
        <v>1</v>
      </c>
      <c r="H1">
        <v>1</v>
      </c>
      <c r="I1" t="s">
        <v>356</v>
      </c>
      <c r="K1" t="s">
        <v>357</v>
      </c>
      <c r="L1">
        <v>1191</v>
      </c>
      <c r="N1">
        <v>1013</v>
      </c>
      <c r="O1" t="s">
        <v>358</v>
      </c>
      <c r="P1" t="s">
        <v>358</v>
      </c>
      <c r="Q1">
        <v>1</v>
      </c>
      <c r="X1">
        <v>298</v>
      </c>
      <c r="Y1">
        <v>0</v>
      </c>
      <c r="Z1">
        <v>0</v>
      </c>
      <c r="AA1">
        <v>0</v>
      </c>
      <c r="AB1">
        <v>10.06</v>
      </c>
      <c r="AC1">
        <v>0</v>
      </c>
      <c r="AD1">
        <v>1</v>
      </c>
      <c r="AE1">
        <v>1</v>
      </c>
      <c r="AF1" t="s">
        <v>30</v>
      </c>
      <c r="AG1">
        <v>208.6</v>
      </c>
      <c r="AH1">
        <v>2</v>
      </c>
      <c r="AI1">
        <v>55657443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55657444</v>
      </c>
      <c r="C2">
        <v>55657442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359</v>
      </c>
      <c r="K2" t="s">
        <v>360</v>
      </c>
      <c r="L2">
        <v>1191</v>
      </c>
      <c r="N2">
        <v>1013</v>
      </c>
      <c r="O2" t="s">
        <v>358</v>
      </c>
      <c r="P2" t="s">
        <v>358</v>
      </c>
      <c r="Q2">
        <v>1</v>
      </c>
      <c r="X2">
        <v>2.48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30</v>
      </c>
      <c r="AG2">
        <v>1.736</v>
      </c>
      <c r="AH2">
        <v>2</v>
      </c>
      <c r="AI2">
        <v>55657444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55657445</v>
      </c>
      <c r="C3">
        <v>55657442</v>
      </c>
      <c r="D3">
        <v>53791997</v>
      </c>
      <c r="E3">
        <v>1</v>
      </c>
      <c r="F3">
        <v>1</v>
      </c>
      <c r="G3">
        <v>1</v>
      </c>
      <c r="H3">
        <v>2</v>
      </c>
      <c r="I3" t="s">
        <v>361</v>
      </c>
      <c r="J3" t="s">
        <v>362</v>
      </c>
      <c r="K3" t="s">
        <v>363</v>
      </c>
      <c r="L3">
        <v>1367</v>
      </c>
      <c r="N3">
        <v>1011</v>
      </c>
      <c r="O3" t="s">
        <v>364</v>
      </c>
      <c r="P3" t="s">
        <v>364</v>
      </c>
      <c r="Q3">
        <v>1</v>
      </c>
      <c r="X3">
        <v>2.2</v>
      </c>
      <c r="Y3">
        <v>0</v>
      </c>
      <c r="Z3">
        <v>115.4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30</v>
      </c>
      <c r="AG3">
        <v>1.54</v>
      </c>
      <c r="AH3">
        <v>2</v>
      </c>
      <c r="AI3">
        <v>55657445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55657446</v>
      </c>
      <c r="C4">
        <v>55657442</v>
      </c>
      <c r="D4">
        <v>53792134</v>
      </c>
      <c r="E4">
        <v>1</v>
      </c>
      <c r="F4">
        <v>1</v>
      </c>
      <c r="G4">
        <v>1</v>
      </c>
      <c r="H4">
        <v>2</v>
      </c>
      <c r="I4" t="s">
        <v>365</v>
      </c>
      <c r="J4" t="s">
        <v>366</v>
      </c>
      <c r="K4" t="s">
        <v>367</v>
      </c>
      <c r="L4">
        <v>1367</v>
      </c>
      <c r="N4">
        <v>1011</v>
      </c>
      <c r="O4" t="s">
        <v>364</v>
      </c>
      <c r="P4" t="s">
        <v>364</v>
      </c>
      <c r="Q4">
        <v>1</v>
      </c>
      <c r="X4">
        <v>43.9</v>
      </c>
      <c r="Y4">
        <v>0</v>
      </c>
      <c r="Z4">
        <v>6.9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30</v>
      </c>
      <c r="AG4">
        <v>30.729999999999997</v>
      </c>
      <c r="AH4">
        <v>2</v>
      </c>
      <c r="AI4">
        <v>55657446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55657447</v>
      </c>
      <c r="C5">
        <v>55657442</v>
      </c>
      <c r="D5">
        <v>53792927</v>
      </c>
      <c r="E5">
        <v>1</v>
      </c>
      <c r="F5">
        <v>1</v>
      </c>
      <c r="G5">
        <v>1</v>
      </c>
      <c r="H5">
        <v>2</v>
      </c>
      <c r="I5" t="s">
        <v>368</v>
      </c>
      <c r="J5" t="s">
        <v>369</v>
      </c>
      <c r="K5" t="s">
        <v>370</v>
      </c>
      <c r="L5">
        <v>1367</v>
      </c>
      <c r="N5">
        <v>1011</v>
      </c>
      <c r="O5" t="s">
        <v>364</v>
      </c>
      <c r="P5" t="s">
        <v>364</v>
      </c>
      <c r="Q5">
        <v>1</v>
      </c>
      <c r="X5">
        <v>0.28</v>
      </c>
      <c r="Y5">
        <v>0</v>
      </c>
      <c r="Z5">
        <v>65.71</v>
      </c>
      <c r="AA5">
        <v>11.6</v>
      </c>
      <c r="AB5">
        <v>0</v>
      </c>
      <c r="AC5">
        <v>0</v>
      </c>
      <c r="AD5">
        <v>1</v>
      </c>
      <c r="AE5">
        <v>0</v>
      </c>
      <c r="AF5" t="s">
        <v>30</v>
      </c>
      <c r="AG5">
        <v>0.196</v>
      </c>
      <c r="AH5">
        <v>2</v>
      </c>
      <c r="AI5">
        <v>55657447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55657448</v>
      </c>
      <c r="C6">
        <v>55657442</v>
      </c>
      <c r="D6">
        <v>53645866</v>
      </c>
      <c r="E6">
        <v>1</v>
      </c>
      <c r="F6">
        <v>1</v>
      </c>
      <c r="G6">
        <v>1</v>
      </c>
      <c r="H6">
        <v>3</v>
      </c>
      <c r="I6" t="s">
        <v>446</v>
      </c>
      <c r="J6" t="s">
        <v>447</v>
      </c>
      <c r="K6" t="s">
        <v>448</v>
      </c>
      <c r="L6">
        <v>1346</v>
      </c>
      <c r="N6">
        <v>1009</v>
      </c>
      <c r="O6" t="s">
        <v>51</v>
      </c>
      <c r="P6" t="s">
        <v>51</v>
      </c>
      <c r="Q6">
        <v>1</v>
      </c>
      <c r="X6">
        <v>0</v>
      </c>
      <c r="Y6">
        <v>28.26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 t="s">
        <v>29</v>
      </c>
      <c r="AG6">
        <v>0</v>
      </c>
      <c r="AH6">
        <v>3</v>
      </c>
      <c r="AI6">
        <v>-1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55657449</v>
      </c>
      <c r="C7">
        <v>55657442</v>
      </c>
      <c r="D7">
        <v>53646035</v>
      </c>
      <c r="E7">
        <v>1</v>
      </c>
      <c r="F7">
        <v>1</v>
      </c>
      <c r="G7">
        <v>1</v>
      </c>
      <c r="H7">
        <v>3</v>
      </c>
      <c r="I7" t="s">
        <v>66</v>
      </c>
      <c r="J7" t="s">
        <v>68</v>
      </c>
      <c r="K7" t="s">
        <v>67</v>
      </c>
      <c r="L7">
        <v>1348</v>
      </c>
      <c r="N7">
        <v>1009</v>
      </c>
      <c r="O7" t="s">
        <v>41</v>
      </c>
      <c r="P7" t="s">
        <v>41</v>
      </c>
      <c r="Q7">
        <v>1000</v>
      </c>
      <c r="X7">
        <v>0.00115</v>
      </c>
      <c r="Y7">
        <v>37900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29</v>
      </c>
      <c r="AG7">
        <v>0</v>
      </c>
      <c r="AH7">
        <v>2</v>
      </c>
      <c r="AI7">
        <v>55657449</v>
      </c>
      <c r="AJ7">
        <v>6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55657450</v>
      </c>
      <c r="C8">
        <v>55657442</v>
      </c>
      <c r="D8">
        <v>53646160</v>
      </c>
      <c r="E8">
        <v>1</v>
      </c>
      <c r="F8">
        <v>1</v>
      </c>
      <c r="G8">
        <v>1</v>
      </c>
      <c r="H8">
        <v>3</v>
      </c>
      <c r="I8" t="s">
        <v>449</v>
      </c>
      <c r="J8" t="s">
        <v>450</v>
      </c>
      <c r="K8" t="s">
        <v>451</v>
      </c>
      <c r="L8">
        <v>1327</v>
      </c>
      <c r="N8">
        <v>1005</v>
      </c>
      <c r="O8" t="s">
        <v>146</v>
      </c>
      <c r="P8" t="s">
        <v>146</v>
      </c>
      <c r="Q8">
        <v>1</v>
      </c>
      <c r="X8">
        <v>0</v>
      </c>
      <c r="Y8">
        <v>52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F8" t="s">
        <v>29</v>
      </c>
      <c r="AG8">
        <v>0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55657451</v>
      </c>
      <c r="C9">
        <v>55657442</v>
      </c>
      <c r="D9">
        <v>53646246</v>
      </c>
      <c r="E9">
        <v>1</v>
      </c>
      <c r="F9">
        <v>1</v>
      </c>
      <c r="G9">
        <v>1</v>
      </c>
      <c r="H9">
        <v>3</v>
      </c>
      <c r="I9" t="s">
        <v>452</v>
      </c>
      <c r="J9" t="s">
        <v>453</v>
      </c>
      <c r="K9" t="s">
        <v>454</v>
      </c>
      <c r="L9">
        <v>1327</v>
      </c>
      <c r="N9">
        <v>1005</v>
      </c>
      <c r="O9" t="s">
        <v>146</v>
      </c>
      <c r="P9" t="s">
        <v>146</v>
      </c>
      <c r="Q9">
        <v>1</v>
      </c>
      <c r="X9">
        <v>0</v>
      </c>
      <c r="Y9">
        <v>350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 t="s">
        <v>29</v>
      </c>
      <c r="AG9">
        <v>0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55657452</v>
      </c>
      <c r="C10">
        <v>55657442</v>
      </c>
      <c r="D10">
        <v>53659617</v>
      </c>
      <c r="E10">
        <v>1</v>
      </c>
      <c r="F10">
        <v>1</v>
      </c>
      <c r="G10">
        <v>1</v>
      </c>
      <c r="H10">
        <v>3</v>
      </c>
      <c r="I10" t="s">
        <v>70</v>
      </c>
      <c r="J10" t="s">
        <v>72</v>
      </c>
      <c r="K10" t="s">
        <v>71</v>
      </c>
      <c r="L10">
        <v>1348</v>
      </c>
      <c r="N10">
        <v>1009</v>
      </c>
      <c r="O10" t="s">
        <v>41</v>
      </c>
      <c r="P10" t="s">
        <v>41</v>
      </c>
      <c r="Q10">
        <v>1000</v>
      </c>
      <c r="X10">
        <v>0.02</v>
      </c>
      <c r="Y10">
        <v>7712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29</v>
      </c>
      <c r="AG10">
        <v>0</v>
      </c>
      <c r="AH10">
        <v>2</v>
      </c>
      <c r="AI10">
        <v>55657452</v>
      </c>
      <c r="AJ10">
        <v>7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55657453</v>
      </c>
      <c r="C11">
        <v>55657442</v>
      </c>
      <c r="D11">
        <v>53661716</v>
      </c>
      <c r="E11">
        <v>1</v>
      </c>
      <c r="F11">
        <v>1</v>
      </c>
      <c r="G11">
        <v>1</v>
      </c>
      <c r="H11">
        <v>3</v>
      </c>
      <c r="I11" t="s">
        <v>74</v>
      </c>
      <c r="J11" t="s">
        <v>77</v>
      </c>
      <c r="K11" t="s">
        <v>75</v>
      </c>
      <c r="L11">
        <v>1302</v>
      </c>
      <c r="N11">
        <v>1003</v>
      </c>
      <c r="O11" t="s">
        <v>76</v>
      </c>
      <c r="P11" t="s">
        <v>76</v>
      </c>
      <c r="Q11">
        <v>10</v>
      </c>
      <c r="X11">
        <v>0.2</v>
      </c>
      <c r="Y11">
        <v>50.24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29</v>
      </c>
      <c r="AG11">
        <v>0</v>
      </c>
      <c r="AH11">
        <v>2</v>
      </c>
      <c r="AI11">
        <v>55657453</v>
      </c>
      <c r="AJ11">
        <v>8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ROW(Source!A28)</f>
        <v>28</v>
      </c>
      <c r="B12">
        <v>55657454</v>
      </c>
      <c r="C12">
        <v>55657442</v>
      </c>
      <c r="D12">
        <v>53632492</v>
      </c>
      <c r="E12">
        <v>70</v>
      </c>
      <c r="F12">
        <v>1</v>
      </c>
      <c r="G12">
        <v>1</v>
      </c>
      <c r="H12">
        <v>3</v>
      </c>
      <c r="I12" t="s">
        <v>455</v>
      </c>
      <c r="K12" t="s">
        <v>456</v>
      </c>
      <c r="L12">
        <v>1348</v>
      </c>
      <c r="N12">
        <v>1009</v>
      </c>
      <c r="O12" t="s">
        <v>41</v>
      </c>
      <c r="P12" t="s">
        <v>41</v>
      </c>
      <c r="Q12">
        <v>1000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 t="s">
        <v>29</v>
      </c>
      <c r="AG12">
        <v>0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55657455</v>
      </c>
      <c r="C13">
        <v>55657442</v>
      </c>
      <c r="D13">
        <v>53666055</v>
      </c>
      <c r="E13">
        <v>1</v>
      </c>
      <c r="F13">
        <v>1</v>
      </c>
      <c r="G13">
        <v>1</v>
      </c>
      <c r="H13">
        <v>3</v>
      </c>
      <c r="I13" t="s">
        <v>87</v>
      </c>
      <c r="J13" t="s">
        <v>89</v>
      </c>
      <c r="K13" t="s">
        <v>88</v>
      </c>
      <c r="L13">
        <v>1339</v>
      </c>
      <c r="N13">
        <v>1007</v>
      </c>
      <c r="O13" t="s">
        <v>46</v>
      </c>
      <c r="P13" t="s">
        <v>46</v>
      </c>
      <c r="Q13">
        <v>1</v>
      </c>
      <c r="X13">
        <v>0.04</v>
      </c>
      <c r="Y13">
        <v>1700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29</v>
      </c>
      <c r="AG13">
        <v>0</v>
      </c>
      <c r="AH13">
        <v>2</v>
      </c>
      <c r="AI13">
        <v>55657455</v>
      </c>
      <c r="AJ13">
        <v>9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55657443</v>
      </c>
      <c r="C14">
        <v>55657442</v>
      </c>
      <c r="D14">
        <v>53630123</v>
      </c>
      <c r="E14">
        <v>70</v>
      </c>
      <c r="F14">
        <v>1</v>
      </c>
      <c r="G14">
        <v>1</v>
      </c>
      <c r="H14">
        <v>1</v>
      </c>
      <c r="I14" t="s">
        <v>356</v>
      </c>
      <c r="K14" t="s">
        <v>357</v>
      </c>
      <c r="L14">
        <v>1191</v>
      </c>
      <c r="N14">
        <v>1013</v>
      </c>
      <c r="O14" t="s">
        <v>358</v>
      </c>
      <c r="P14" t="s">
        <v>358</v>
      </c>
      <c r="Q14">
        <v>1</v>
      </c>
      <c r="X14">
        <v>298</v>
      </c>
      <c r="Y14">
        <v>0</v>
      </c>
      <c r="Z14">
        <v>0</v>
      </c>
      <c r="AA14">
        <v>0</v>
      </c>
      <c r="AB14">
        <v>10.06</v>
      </c>
      <c r="AC14">
        <v>0</v>
      </c>
      <c r="AD14">
        <v>1</v>
      </c>
      <c r="AE14">
        <v>1</v>
      </c>
      <c r="AF14" t="s">
        <v>30</v>
      </c>
      <c r="AG14">
        <v>208.6</v>
      </c>
      <c r="AH14">
        <v>2</v>
      </c>
      <c r="AI14">
        <v>55657443</v>
      </c>
      <c r="AJ14">
        <v>10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55657444</v>
      </c>
      <c r="C15">
        <v>55657442</v>
      </c>
      <c r="D15">
        <v>53630257</v>
      </c>
      <c r="E15">
        <v>70</v>
      </c>
      <c r="F15">
        <v>1</v>
      </c>
      <c r="G15">
        <v>1</v>
      </c>
      <c r="H15">
        <v>1</v>
      </c>
      <c r="I15" t="s">
        <v>359</v>
      </c>
      <c r="K15" t="s">
        <v>360</v>
      </c>
      <c r="L15">
        <v>1191</v>
      </c>
      <c r="N15">
        <v>1013</v>
      </c>
      <c r="O15" t="s">
        <v>358</v>
      </c>
      <c r="P15" t="s">
        <v>358</v>
      </c>
      <c r="Q15">
        <v>1</v>
      </c>
      <c r="X15">
        <v>2.48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30</v>
      </c>
      <c r="AG15">
        <v>1.736</v>
      </c>
      <c r="AH15">
        <v>2</v>
      </c>
      <c r="AI15">
        <v>55657444</v>
      </c>
      <c r="AJ15">
        <v>11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55657445</v>
      </c>
      <c r="C16">
        <v>55657442</v>
      </c>
      <c r="D16">
        <v>53791997</v>
      </c>
      <c r="E16">
        <v>1</v>
      </c>
      <c r="F16">
        <v>1</v>
      </c>
      <c r="G16">
        <v>1</v>
      </c>
      <c r="H16">
        <v>2</v>
      </c>
      <c r="I16" t="s">
        <v>361</v>
      </c>
      <c r="J16" t="s">
        <v>362</v>
      </c>
      <c r="K16" t="s">
        <v>363</v>
      </c>
      <c r="L16">
        <v>1367</v>
      </c>
      <c r="N16">
        <v>1011</v>
      </c>
      <c r="O16" t="s">
        <v>364</v>
      </c>
      <c r="P16" t="s">
        <v>364</v>
      </c>
      <c r="Q16">
        <v>1</v>
      </c>
      <c r="X16">
        <v>2.2</v>
      </c>
      <c r="Y16">
        <v>0</v>
      </c>
      <c r="Z16">
        <v>115.4</v>
      </c>
      <c r="AA16">
        <v>13.5</v>
      </c>
      <c r="AB16">
        <v>0</v>
      </c>
      <c r="AC16">
        <v>0</v>
      </c>
      <c r="AD16">
        <v>1</v>
      </c>
      <c r="AE16">
        <v>0</v>
      </c>
      <c r="AF16" t="s">
        <v>30</v>
      </c>
      <c r="AG16">
        <v>1.54</v>
      </c>
      <c r="AH16">
        <v>2</v>
      </c>
      <c r="AI16">
        <v>55657445</v>
      </c>
      <c r="AJ16">
        <v>12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55657446</v>
      </c>
      <c r="C17">
        <v>55657442</v>
      </c>
      <c r="D17">
        <v>53792134</v>
      </c>
      <c r="E17">
        <v>1</v>
      </c>
      <c r="F17">
        <v>1</v>
      </c>
      <c r="G17">
        <v>1</v>
      </c>
      <c r="H17">
        <v>2</v>
      </c>
      <c r="I17" t="s">
        <v>365</v>
      </c>
      <c r="J17" t="s">
        <v>366</v>
      </c>
      <c r="K17" t="s">
        <v>367</v>
      </c>
      <c r="L17">
        <v>1367</v>
      </c>
      <c r="N17">
        <v>1011</v>
      </c>
      <c r="O17" t="s">
        <v>364</v>
      </c>
      <c r="P17" t="s">
        <v>364</v>
      </c>
      <c r="Q17">
        <v>1</v>
      </c>
      <c r="X17">
        <v>43.9</v>
      </c>
      <c r="Y17">
        <v>0</v>
      </c>
      <c r="Z17">
        <v>6.9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30</v>
      </c>
      <c r="AG17">
        <v>30.729999999999997</v>
      </c>
      <c r="AH17">
        <v>2</v>
      </c>
      <c r="AI17">
        <v>55657446</v>
      </c>
      <c r="AJ17">
        <v>13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55657447</v>
      </c>
      <c r="C18">
        <v>55657442</v>
      </c>
      <c r="D18">
        <v>53792927</v>
      </c>
      <c r="E18">
        <v>1</v>
      </c>
      <c r="F18">
        <v>1</v>
      </c>
      <c r="G18">
        <v>1</v>
      </c>
      <c r="H18">
        <v>2</v>
      </c>
      <c r="I18" t="s">
        <v>368</v>
      </c>
      <c r="J18" t="s">
        <v>369</v>
      </c>
      <c r="K18" t="s">
        <v>370</v>
      </c>
      <c r="L18">
        <v>1367</v>
      </c>
      <c r="N18">
        <v>1011</v>
      </c>
      <c r="O18" t="s">
        <v>364</v>
      </c>
      <c r="P18" t="s">
        <v>364</v>
      </c>
      <c r="Q18">
        <v>1</v>
      </c>
      <c r="X18">
        <v>0.28</v>
      </c>
      <c r="Y18">
        <v>0</v>
      </c>
      <c r="Z18">
        <v>65.71</v>
      </c>
      <c r="AA18">
        <v>11.6</v>
      </c>
      <c r="AB18">
        <v>0</v>
      </c>
      <c r="AC18">
        <v>0</v>
      </c>
      <c r="AD18">
        <v>1</v>
      </c>
      <c r="AE18">
        <v>0</v>
      </c>
      <c r="AF18" t="s">
        <v>30</v>
      </c>
      <c r="AG18">
        <v>0.196</v>
      </c>
      <c r="AH18">
        <v>2</v>
      </c>
      <c r="AI18">
        <v>55657447</v>
      </c>
      <c r="AJ18">
        <v>14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55657448</v>
      </c>
      <c r="C19">
        <v>55657442</v>
      </c>
      <c r="D19">
        <v>53645866</v>
      </c>
      <c r="E19">
        <v>1</v>
      </c>
      <c r="F19">
        <v>1</v>
      </c>
      <c r="G19">
        <v>1</v>
      </c>
      <c r="H19">
        <v>3</v>
      </c>
      <c r="I19" t="s">
        <v>446</v>
      </c>
      <c r="J19" t="s">
        <v>447</v>
      </c>
      <c r="K19" t="s">
        <v>448</v>
      </c>
      <c r="L19">
        <v>1346</v>
      </c>
      <c r="N19">
        <v>1009</v>
      </c>
      <c r="O19" t="s">
        <v>51</v>
      </c>
      <c r="P19" t="s">
        <v>51</v>
      </c>
      <c r="Q19">
        <v>1</v>
      </c>
      <c r="X19">
        <v>0</v>
      </c>
      <c r="Y19">
        <v>28.26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 t="s">
        <v>29</v>
      </c>
      <c r="AG19">
        <v>0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55657449</v>
      </c>
      <c r="C20">
        <v>55657442</v>
      </c>
      <c r="D20">
        <v>53646035</v>
      </c>
      <c r="E20">
        <v>1</v>
      </c>
      <c r="F20">
        <v>1</v>
      </c>
      <c r="G20">
        <v>1</v>
      </c>
      <c r="H20">
        <v>3</v>
      </c>
      <c r="I20" t="s">
        <v>66</v>
      </c>
      <c r="J20" t="s">
        <v>68</v>
      </c>
      <c r="K20" t="s">
        <v>67</v>
      </c>
      <c r="L20">
        <v>1348</v>
      </c>
      <c r="N20">
        <v>1009</v>
      </c>
      <c r="O20" t="s">
        <v>41</v>
      </c>
      <c r="P20" t="s">
        <v>41</v>
      </c>
      <c r="Q20">
        <v>1000</v>
      </c>
      <c r="X20">
        <v>0.00115</v>
      </c>
      <c r="Y20">
        <v>37900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29</v>
      </c>
      <c r="AG20">
        <v>0</v>
      </c>
      <c r="AH20">
        <v>2</v>
      </c>
      <c r="AI20">
        <v>55657449</v>
      </c>
      <c r="AJ20">
        <v>15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55657450</v>
      </c>
      <c r="C21">
        <v>55657442</v>
      </c>
      <c r="D21">
        <v>53646160</v>
      </c>
      <c r="E21">
        <v>1</v>
      </c>
      <c r="F21">
        <v>1</v>
      </c>
      <c r="G21">
        <v>1</v>
      </c>
      <c r="H21">
        <v>3</v>
      </c>
      <c r="I21" t="s">
        <v>449</v>
      </c>
      <c r="J21" t="s">
        <v>450</v>
      </c>
      <c r="K21" t="s">
        <v>451</v>
      </c>
      <c r="L21">
        <v>1327</v>
      </c>
      <c r="N21">
        <v>1005</v>
      </c>
      <c r="O21" t="s">
        <v>146</v>
      </c>
      <c r="P21" t="s">
        <v>146</v>
      </c>
      <c r="Q21">
        <v>1</v>
      </c>
      <c r="X21">
        <v>0</v>
      </c>
      <c r="Y21">
        <v>52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 t="s">
        <v>29</v>
      </c>
      <c r="AG21">
        <v>0</v>
      </c>
      <c r="AH21">
        <v>3</v>
      </c>
      <c r="AI21">
        <v>-1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55657451</v>
      </c>
      <c r="C22">
        <v>55657442</v>
      </c>
      <c r="D22">
        <v>53646246</v>
      </c>
      <c r="E22">
        <v>1</v>
      </c>
      <c r="F22">
        <v>1</v>
      </c>
      <c r="G22">
        <v>1</v>
      </c>
      <c r="H22">
        <v>3</v>
      </c>
      <c r="I22" t="s">
        <v>452</v>
      </c>
      <c r="J22" t="s">
        <v>453</v>
      </c>
      <c r="K22" t="s">
        <v>454</v>
      </c>
      <c r="L22">
        <v>1327</v>
      </c>
      <c r="N22">
        <v>1005</v>
      </c>
      <c r="O22" t="s">
        <v>146</v>
      </c>
      <c r="P22" t="s">
        <v>146</v>
      </c>
      <c r="Q22">
        <v>1</v>
      </c>
      <c r="X22">
        <v>0</v>
      </c>
      <c r="Y22">
        <v>350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29</v>
      </c>
      <c r="AG22">
        <v>0</v>
      </c>
      <c r="AH22">
        <v>3</v>
      </c>
      <c r="AI22">
        <v>-1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ROW(Source!A29)</f>
        <v>29</v>
      </c>
      <c r="B23">
        <v>55657452</v>
      </c>
      <c r="C23">
        <v>55657442</v>
      </c>
      <c r="D23">
        <v>53659617</v>
      </c>
      <c r="E23">
        <v>1</v>
      </c>
      <c r="F23">
        <v>1</v>
      </c>
      <c r="G23">
        <v>1</v>
      </c>
      <c r="H23">
        <v>3</v>
      </c>
      <c r="I23" t="s">
        <v>70</v>
      </c>
      <c r="J23" t="s">
        <v>72</v>
      </c>
      <c r="K23" t="s">
        <v>71</v>
      </c>
      <c r="L23">
        <v>1348</v>
      </c>
      <c r="N23">
        <v>1009</v>
      </c>
      <c r="O23" t="s">
        <v>41</v>
      </c>
      <c r="P23" t="s">
        <v>41</v>
      </c>
      <c r="Q23">
        <v>1000</v>
      </c>
      <c r="X23">
        <v>0.02</v>
      </c>
      <c r="Y23">
        <v>7712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29</v>
      </c>
      <c r="AG23">
        <v>0</v>
      </c>
      <c r="AH23">
        <v>2</v>
      </c>
      <c r="AI23">
        <v>55657452</v>
      </c>
      <c r="AJ23">
        <v>16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ROW(Source!A29)</f>
        <v>29</v>
      </c>
      <c r="B24">
        <v>55657453</v>
      </c>
      <c r="C24">
        <v>55657442</v>
      </c>
      <c r="D24">
        <v>53661716</v>
      </c>
      <c r="E24">
        <v>1</v>
      </c>
      <c r="F24">
        <v>1</v>
      </c>
      <c r="G24">
        <v>1</v>
      </c>
      <c r="H24">
        <v>3</v>
      </c>
      <c r="I24" t="s">
        <v>74</v>
      </c>
      <c r="J24" t="s">
        <v>77</v>
      </c>
      <c r="K24" t="s">
        <v>75</v>
      </c>
      <c r="L24">
        <v>1302</v>
      </c>
      <c r="N24">
        <v>1003</v>
      </c>
      <c r="O24" t="s">
        <v>76</v>
      </c>
      <c r="P24" t="s">
        <v>76</v>
      </c>
      <c r="Q24">
        <v>10</v>
      </c>
      <c r="X24">
        <v>0.2</v>
      </c>
      <c r="Y24">
        <v>50.24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29</v>
      </c>
      <c r="AG24">
        <v>0</v>
      </c>
      <c r="AH24">
        <v>2</v>
      </c>
      <c r="AI24">
        <v>55657453</v>
      </c>
      <c r="AJ24">
        <v>17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ROW(Source!A29)</f>
        <v>29</v>
      </c>
      <c r="B25">
        <v>55657454</v>
      </c>
      <c r="C25">
        <v>55657442</v>
      </c>
      <c r="D25">
        <v>53632492</v>
      </c>
      <c r="E25">
        <v>70</v>
      </c>
      <c r="F25">
        <v>1</v>
      </c>
      <c r="G25">
        <v>1</v>
      </c>
      <c r="H25">
        <v>3</v>
      </c>
      <c r="I25" t="s">
        <v>455</v>
      </c>
      <c r="K25" t="s">
        <v>456</v>
      </c>
      <c r="L25">
        <v>1348</v>
      </c>
      <c r="N25">
        <v>1009</v>
      </c>
      <c r="O25" t="s">
        <v>41</v>
      </c>
      <c r="P25" t="s">
        <v>41</v>
      </c>
      <c r="Q25">
        <v>1000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 t="s">
        <v>29</v>
      </c>
      <c r="AG25">
        <v>0</v>
      </c>
      <c r="AH25">
        <v>3</v>
      </c>
      <c r="AI25">
        <v>-1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ROW(Source!A29)</f>
        <v>29</v>
      </c>
      <c r="B26">
        <v>55657455</v>
      </c>
      <c r="C26">
        <v>55657442</v>
      </c>
      <c r="D26">
        <v>53666055</v>
      </c>
      <c r="E26">
        <v>1</v>
      </c>
      <c r="F26">
        <v>1</v>
      </c>
      <c r="G26">
        <v>1</v>
      </c>
      <c r="H26">
        <v>3</v>
      </c>
      <c r="I26" t="s">
        <v>87</v>
      </c>
      <c r="J26" t="s">
        <v>89</v>
      </c>
      <c r="K26" t="s">
        <v>88</v>
      </c>
      <c r="L26">
        <v>1339</v>
      </c>
      <c r="N26">
        <v>1007</v>
      </c>
      <c r="O26" t="s">
        <v>46</v>
      </c>
      <c r="P26" t="s">
        <v>46</v>
      </c>
      <c r="Q26">
        <v>1</v>
      </c>
      <c r="X26">
        <v>0.04</v>
      </c>
      <c r="Y26">
        <v>1700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29</v>
      </c>
      <c r="AG26">
        <v>0</v>
      </c>
      <c r="AH26">
        <v>2</v>
      </c>
      <c r="AI26">
        <v>55657455</v>
      </c>
      <c r="AJ26">
        <v>18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ROW(Source!A30)</f>
        <v>30</v>
      </c>
      <c r="B27">
        <v>55658754</v>
      </c>
      <c r="C27">
        <v>55658753</v>
      </c>
      <c r="D27">
        <v>53630125</v>
      </c>
      <c r="E27">
        <v>70</v>
      </c>
      <c r="F27">
        <v>1</v>
      </c>
      <c r="G27">
        <v>1</v>
      </c>
      <c r="H27">
        <v>1</v>
      </c>
      <c r="I27" t="s">
        <v>371</v>
      </c>
      <c r="K27" t="s">
        <v>372</v>
      </c>
      <c r="L27">
        <v>1191</v>
      </c>
      <c r="N27">
        <v>1013</v>
      </c>
      <c r="O27" t="s">
        <v>358</v>
      </c>
      <c r="P27" t="s">
        <v>358</v>
      </c>
      <c r="Q27">
        <v>1</v>
      </c>
      <c r="X27">
        <v>15.6</v>
      </c>
      <c r="Y27">
        <v>0</v>
      </c>
      <c r="Z27">
        <v>0</v>
      </c>
      <c r="AA27">
        <v>0</v>
      </c>
      <c r="AB27">
        <v>10.21</v>
      </c>
      <c r="AC27">
        <v>0</v>
      </c>
      <c r="AD27">
        <v>1</v>
      </c>
      <c r="AE27">
        <v>1</v>
      </c>
      <c r="AF27" t="s">
        <v>30</v>
      </c>
      <c r="AG27">
        <v>10.92</v>
      </c>
      <c r="AH27">
        <v>2</v>
      </c>
      <c r="AI27">
        <v>55658754</v>
      </c>
      <c r="AJ27">
        <v>19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ROW(Source!A30)</f>
        <v>30</v>
      </c>
      <c r="B28">
        <v>55658755</v>
      </c>
      <c r="C28">
        <v>55658753</v>
      </c>
      <c r="D28">
        <v>53630257</v>
      </c>
      <c r="E28">
        <v>70</v>
      </c>
      <c r="F28">
        <v>1</v>
      </c>
      <c r="G28">
        <v>1</v>
      </c>
      <c r="H28">
        <v>1</v>
      </c>
      <c r="I28" t="s">
        <v>359</v>
      </c>
      <c r="K28" t="s">
        <v>360</v>
      </c>
      <c r="L28">
        <v>1191</v>
      </c>
      <c r="N28">
        <v>1013</v>
      </c>
      <c r="O28" t="s">
        <v>358</v>
      </c>
      <c r="P28" t="s">
        <v>358</v>
      </c>
      <c r="Q28">
        <v>1</v>
      </c>
      <c r="X28">
        <v>2.88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30</v>
      </c>
      <c r="AG28">
        <v>2.016</v>
      </c>
      <c r="AH28">
        <v>2</v>
      </c>
      <c r="AI28">
        <v>55658755</v>
      </c>
      <c r="AJ28">
        <v>20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55658756</v>
      </c>
      <c r="C29">
        <v>55658753</v>
      </c>
      <c r="D29">
        <v>53791943</v>
      </c>
      <c r="E29">
        <v>1</v>
      </c>
      <c r="F29">
        <v>1</v>
      </c>
      <c r="G29">
        <v>1</v>
      </c>
      <c r="H29">
        <v>2</v>
      </c>
      <c r="I29" t="s">
        <v>373</v>
      </c>
      <c r="J29" t="s">
        <v>374</v>
      </c>
      <c r="K29" t="s">
        <v>375</v>
      </c>
      <c r="L29">
        <v>1367</v>
      </c>
      <c r="N29">
        <v>1011</v>
      </c>
      <c r="O29" t="s">
        <v>364</v>
      </c>
      <c r="P29" t="s">
        <v>364</v>
      </c>
      <c r="Q29">
        <v>1</v>
      </c>
      <c r="X29">
        <v>0.68</v>
      </c>
      <c r="Y29">
        <v>0</v>
      </c>
      <c r="Z29">
        <v>312.21</v>
      </c>
      <c r="AA29">
        <v>15.42</v>
      </c>
      <c r="AB29">
        <v>0</v>
      </c>
      <c r="AC29">
        <v>0</v>
      </c>
      <c r="AD29">
        <v>1</v>
      </c>
      <c r="AE29">
        <v>0</v>
      </c>
      <c r="AF29" t="s">
        <v>30</v>
      </c>
      <c r="AG29">
        <v>0.476</v>
      </c>
      <c r="AH29">
        <v>2</v>
      </c>
      <c r="AI29">
        <v>55658756</v>
      </c>
      <c r="AJ29">
        <v>21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55658757</v>
      </c>
      <c r="C30">
        <v>55658753</v>
      </c>
      <c r="D30">
        <v>53791952</v>
      </c>
      <c r="E30">
        <v>1</v>
      </c>
      <c r="F30">
        <v>1</v>
      </c>
      <c r="G30">
        <v>1</v>
      </c>
      <c r="H30">
        <v>2</v>
      </c>
      <c r="I30" t="s">
        <v>376</v>
      </c>
      <c r="J30" t="s">
        <v>377</v>
      </c>
      <c r="K30" t="s">
        <v>378</v>
      </c>
      <c r="L30">
        <v>1367</v>
      </c>
      <c r="N30">
        <v>1011</v>
      </c>
      <c r="O30" t="s">
        <v>364</v>
      </c>
      <c r="P30" t="s">
        <v>364</v>
      </c>
      <c r="Q30">
        <v>1</v>
      </c>
      <c r="X30">
        <v>1.68</v>
      </c>
      <c r="Y30">
        <v>0</v>
      </c>
      <c r="Z30">
        <v>120.24</v>
      </c>
      <c r="AA30">
        <v>15.42</v>
      </c>
      <c r="AB30">
        <v>0</v>
      </c>
      <c r="AC30">
        <v>0</v>
      </c>
      <c r="AD30">
        <v>1</v>
      </c>
      <c r="AE30">
        <v>0</v>
      </c>
      <c r="AF30" t="s">
        <v>30</v>
      </c>
      <c r="AG30">
        <v>1.176</v>
      </c>
      <c r="AH30">
        <v>2</v>
      </c>
      <c r="AI30">
        <v>55658757</v>
      </c>
      <c r="AJ30">
        <v>22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ROW(Source!A30)</f>
        <v>30</v>
      </c>
      <c r="B31">
        <v>55658758</v>
      </c>
      <c r="C31">
        <v>55658753</v>
      </c>
      <c r="D31">
        <v>53791997</v>
      </c>
      <c r="E31">
        <v>1</v>
      </c>
      <c r="F31">
        <v>1</v>
      </c>
      <c r="G31">
        <v>1</v>
      </c>
      <c r="H31">
        <v>2</v>
      </c>
      <c r="I31" t="s">
        <v>361</v>
      </c>
      <c r="J31" t="s">
        <v>362</v>
      </c>
      <c r="K31" t="s">
        <v>363</v>
      </c>
      <c r="L31">
        <v>1367</v>
      </c>
      <c r="N31">
        <v>1011</v>
      </c>
      <c r="O31" t="s">
        <v>364</v>
      </c>
      <c r="P31" t="s">
        <v>364</v>
      </c>
      <c r="Q31">
        <v>1</v>
      </c>
      <c r="X31">
        <v>0.21</v>
      </c>
      <c r="Y31">
        <v>0</v>
      </c>
      <c r="Z31">
        <v>115.4</v>
      </c>
      <c r="AA31">
        <v>13.5</v>
      </c>
      <c r="AB31">
        <v>0</v>
      </c>
      <c r="AC31">
        <v>0</v>
      </c>
      <c r="AD31">
        <v>1</v>
      </c>
      <c r="AE31">
        <v>0</v>
      </c>
      <c r="AF31" t="s">
        <v>30</v>
      </c>
      <c r="AG31">
        <v>0.147</v>
      </c>
      <c r="AH31">
        <v>2</v>
      </c>
      <c r="AI31">
        <v>55658758</v>
      </c>
      <c r="AJ31">
        <v>23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ROW(Source!A30)</f>
        <v>30</v>
      </c>
      <c r="B32">
        <v>55658759</v>
      </c>
      <c r="C32">
        <v>55658753</v>
      </c>
      <c r="D32">
        <v>53792927</v>
      </c>
      <c r="E32">
        <v>1</v>
      </c>
      <c r="F32">
        <v>1</v>
      </c>
      <c r="G32">
        <v>1</v>
      </c>
      <c r="H32">
        <v>2</v>
      </c>
      <c r="I32" t="s">
        <v>368</v>
      </c>
      <c r="J32" t="s">
        <v>369</v>
      </c>
      <c r="K32" t="s">
        <v>370</v>
      </c>
      <c r="L32">
        <v>1367</v>
      </c>
      <c r="N32">
        <v>1011</v>
      </c>
      <c r="O32" t="s">
        <v>364</v>
      </c>
      <c r="P32" t="s">
        <v>364</v>
      </c>
      <c r="Q32">
        <v>1</v>
      </c>
      <c r="X32">
        <v>0.31</v>
      </c>
      <c r="Y32">
        <v>0</v>
      </c>
      <c r="Z32">
        <v>65.71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30</v>
      </c>
      <c r="AG32">
        <v>0.217</v>
      </c>
      <c r="AH32">
        <v>2</v>
      </c>
      <c r="AI32">
        <v>55658759</v>
      </c>
      <c r="AJ32">
        <v>24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ROW(Source!A30)</f>
        <v>30</v>
      </c>
      <c r="B33">
        <v>55658760</v>
      </c>
      <c r="C33">
        <v>55658753</v>
      </c>
      <c r="D33">
        <v>53793082</v>
      </c>
      <c r="E33">
        <v>1</v>
      </c>
      <c r="F33">
        <v>1</v>
      </c>
      <c r="G33">
        <v>1</v>
      </c>
      <c r="H33">
        <v>2</v>
      </c>
      <c r="I33" t="s">
        <v>379</v>
      </c>
      <c r="J33" t="s">
        <v>380</v>
      </c>
      <c r="K33" t="s">
        <v>381</v>
      </c>
      <c r="L33">
        <v>1367</v>
      </c>
      <c r="N33">
        <v>1011</v>
      </c>
      <c r="O33" t="s">
        <v>364</v>
      </c>
      <c r="P33" t="s">
        <v>364</v>
      </c>
      <c r="Q33">
        <v>1</v>
      </c>
      <c r="X33">
        <v>2.38</v>
      </c>
      <c r="Y33">
        <v>0</v>
      </c>
      <c r="Z33">
        <v>1.2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30</v>
      </c>
      <c r="AG33">
        <v>1.666</v>
      </c>
      <c r="AH33">
        <v>2</v>
      </c>
      <c r="AI33">
        <v>55658760</v>
      </c>
      <c r="AJ33">
        <v>25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ROW(Source!A30)</f>
        <v>30</v>
      </c>
      <c r="B34">
        <v>55658761</v>
      </c>
      <c r="C34">
        <v>55658753</v>
      </c>
      <c r="D34">
        <v>53793125</v>
      </c>
      <c r="E34">
        <v>1</v>
      </c>
      <c r="F34">
        <v>1</v>
      </c>
      <c r="G34">
        <v>1</v>
      </c>
      <c r="H34">
        <v>2</v>
      </c>
      <c r="I34" t="s">
        <v>382</v>
      </c>
      <c r="J34" t="s">
        <v>383</v>
      </c>
      <c r="K34" t="s">
        <v>384</v>
      </c>
      <c r="L34">
        <v>1367</v>
      </c>
      <c r="N34">
        <v>1011</v>
      </c>
      <c r="O34" t="s">
        <v>364</v>
      </c>
      <c r="P34" t="s">
        <v>364</v>
      </c>
      <c r="Q34">
        <v>1</v>
      </c>
      <c r="X34">
        <v>0.48</v>
      </c>
      <c r="Y34">
        <v>0</v>
      </c>
      <c r="Z34">
        <v>12.31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30</v>
      </c>
      <c r="AG34">
        <v>0.33599999999999997</v>
      </c>
      <c r="AH34">
        <v>2</v>
      </c>
      <c r="AI34">
        <v>55658761</v>
      </c>
      <c r="AJ34">
        <v>26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ROW(Source!A30)</f>
        <v>30</v>
      </c>
      <c r="B35">
        <v>55658762</v>
      </c>
      <c r="C35">
        <v>55658753</v>
      </c>
      <c r="D35">
        <v>53640954</v>
      </c>
      <c r="E35">
        <v>1</v>
      </c>
      <c r="F35">
        <v>1</v>
      </c>
      <c r="G35">
        <v>1</v>
      </c>
      <c r="H35">
        <v>3</v>
      </c>
      <c r="I35" t="s">
        <v>44</v>
      </c>
      <c r="J35" t="s">
        <v>47</v>
      </c>
      <c r="K35" t="s">
        <v>45</v>
      </c>
      <c r="L35">
        <v>1339</v>
      </c>
      <c r="N35">
        <v>1007</v>
      </c>
      <c r="O35" t="s">
        <v>46</v>
      </c>
      <c r="P35" t="s">
        <v>46</v>
      </c>
      <c r="Q35">
        <v>1</v>
      </c>
      <c r="X35">
        <v>1.95</v>
      </c>
      <c r="Y35">
        <v>6.22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29</v>
      </c>
      <c r="AG35">
        <v>0</v>
      </c>
      <c r="AH35">
        <v>2</v>
      </c>
      <c r="AI35">
        <v>55658762</v>
      </c>
      <c r="AJ35">
        <v>27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ROW(Source!A30)</f>
        <v>30</v>
      </c>
      <c r="B36">
        <v>55658763</v>
      </c>
      <c r="C36">
        <v>55658753</v>
      </c>
      <c r="D36">
        <v>53640960</v>
      </c>
      <c r="E36">
        <v>1</v>
      </c>
      <c r="F36">
        <v>1</v>
      </c>
      <c r="G36">
        <v>1</v>
      </c>
      <c r="H36">
        <v>3</v>
      </c>
      <c r="I36" t="s">
        <v>49</v>
      </c>
      <c r="J36" t="s">
        <v>52</v>
      </c>
      <c r="K36" t="s">
        <v>50</v>
      </c>
      <c r="L36">
        <v>1346</v>
      </c>
      <c r="N36">
        <v>1009</v>
      </c>
      <c r="O36" t="s">
        <v>51</v>
      </c>
      <c r="P36" t="s">
        <v>51</v>
      </c>
      <c r="Q36">
        <v>1</v>
      </c>
      <c r="X36">
        <v>0.59</v>
      </c>
      <c r="Y36">
        <v>6.09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29</v>
      </c>
      <c r="AG36">
        <v>0</v>
      </c>
      <c r="AH36">
        <v>2</v>
      </c>
      <c r="AI36">
        <v>55658763</v>
      </c>
      <c r="AJ36">
        <v>28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ROW(Source!A30)</f>
        <v>30</v>
      </c>
      <c r="B37">
        <v>55658764</v>
      </c>
      <c r="C37">
        <v>55658753</v>
      </c>
      <c r="D37">
        <v>53643640</v>
      </c>
      <c r="E37">
        <v>1</v>
      </c>
      <c r="F37">
        <v>1</v>
      </c>
      <c r="G37">
        <v>1</v>
      </c>
      <c r="H37">
        <v>3</v>
      </c>
      <c r="I37" t="s">
        <v>54</v>
      </c>
      <c r="J37" t="s">
        <v>56</v>
      </c>
      <c r="K37" t="s">
        <v>55</v>
      </c>
      <c r="L37">
        <v>1348</v>
      </c>
      <c r="N37">
        <v>1009</v>
      </c>
      <c r="O37" t="s">
        <v>41</v>
      </c>
      <c r="P37" t="s">
        <v>41</v>
      </c>
      <c r="Q37">
        <v>1000</v>
      </c>
      <c r="X37">
        <v>0.0031</v>
      </c>
      <c r="Y37">
        <v>10315.01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29</v>
      </c>
      <c r="AG37">
        <v>0</v>
      </c>
      <c r="AH37">
        <v>2</v>
      </c>
      <c r="AI37">
        <v>55658764</v>
      </c>
      <c r="AJ37">
        <v>29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ROW(Source!A30)</f>
        <v>30</v>
      </c>
      <c r="B38">
        <v>55658765</v>
      </c>
      <c r="C38">
        <v>55658753</v>
      </c>
      <c r="D38">
        <v>53644840</v>
      </c>
      <c r="E38">
        <v>1</v>
      </c>
      <c r="F38">
        <v>1</v>
      </c>
      <c r="G38">
        <v>1</v>
      </c>
      <c r="H38">
        <v>3</v>
      </c>
      <c r="I38" t="s">
        <v>58</v>
      </c>
      <c r="J38" t="s">
        <v>60</v>
      </c>
      <c r="K38" t="s">
        <v>59</v>
      </c>
      <c r="L38">
        <v>1346</v>
      </c>
      <c r="N38">
        <v>1009</v>
      </c>
      <c r="O38" t="s">
        <v>51</v>
      </c>
      <c r="P38" t="s">
        <v>51</v>
      </c>
      <c r="Q38">
        <v>1</v>
      </c>
      <c r="X38">
        <v>3.1</v>
      </c>
      <c r="Y38">
        <v>9.04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29</v>
      </c>
      <c r="AG38">
        <v>0</v>
      </c>
      <c r="AH38">
        <v>2</v>
      </c>
      <c r="AI38">
        <v>55658765</v>
      </c>
      <c r="AJ38">
        <v>30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ROW(Source!A30)</f>
        <v>30</v>
      </c>
      <c r="B39">
        <v>55658766</v>
      </c>
      <c r="C39">
        <v>55658753</v>
      </c>
      <c r="D39">
        <v>53644939</v>
      </c>
      <c r="E39">
        <v>1</v>
      </c>
      <c r="F39">
        <v>1</v>
      </c>
      <c r="G39">
        <v>1</v>
      </c>
      <c r="H39">
        <v>3</v>
      </c>
      <c r="I39" t="s">
        <v>62</v>
      </c>
      <c r="J39" t="s">
        <v>64</v>
      </c>
      <c r="K39" t="s">
        <v>63</v>
      </c>
      <c r="L39">
        <v>1348</v>
      </c>
      <c r="N39">
        <v>1009</v>
      </c>
      <c r="O39" t="s">
        <v>41</v>
      </c>
      <c r="P39" t="s">
        <v>41</v>
      </c>
      <c r="Q39">
        <v>1000</v>
      </c>
      <c r="X39">
        <v>1E-05</v>
      </c>
      <c r="Y39">
        <v>11978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29</v>
      </c>
      <c r="AG39">
        <v>0</v>
      </c>
      <c r="AH39">
        <v>2</v>
      </c>
      <c r="AI39">
        <v>55658766</v>
      </c>
      <c r="AJ39">
        <v>31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ROW(Source!A30)</f>
        <v>30</v>
      </c>
      <c r="B40">
        <v>55658767</v>
      </c>
      <c r="C40">
        <v>55658753</v>
      </c>
      <c r="D40">
        <v>53646035</v>
      </c>
      <c r="E40">
        <v>1</v>
      </c>
      <c r="F40">
        <v>1</v>
      </c>
      <c r="G40">
        <v>1</v>
      </c>
      <c r="H40">
        <v>3</v>
      </c>
      <c r="I40" t="s">
        <v>66</v>
      </c>
      <c r="J40" t="s">
        <v>68</v>
      </c>
      <c r="K40" t="s">
        <v>67</v>
      </c>
      <c r="L40">
        <v>1348</v>
      </c>
      <c r="N40">
        <v>1009</v>
      </c>
      <c r="O40" t="s">
        <v>41</v>
      </c>
      <c r="P40" t="s">
        <v>41</v>
      </c>
      <c r="Q40">
        <v>1000</v>
      </c>
      <c r="X40">
        <v>0.0001</v>
      </c>
      <c r="Y40">
        <v>37900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29</v>
      </c>
      <c r="AG40">
        <v>0</v>
      </c>
      <c r="AH40">
        <v>2</v>
      </c>
      <c r="AI40">
        <v>55658767</v>
      </c>
      <c r="AJ40">
        <v>32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ROW(Source!A30)</f>
        <v>30</v>
      </c>
      <c r="B41">
        <v>55658768</v>
      </c>
      <c r="C41">
        <v>55658753</v>
      </c>
      <c r="D41">
        <v>53632028</v>
      </c>
      <c r="E41">
        <v>70</v>
      </c>
      <c r="F41">
        <v>1</v>
      </c>
      <c r="G41">
        <v>1</v>
      </c>
      <c r="H41">
        <v>3</v>
      </c>
      <c r="I41" t="s">
        <v>457</v>
      </c>
      <c r="K41" t="s">
        <v>458</v>
      </c>
      <c r="L41">
        <v>1348</v>
      </c>
      <c r="N41">
        <v>1009</v>
      </c>
      <c r="O41" t="s">
        <v>41</v>
      </c>
      <c r="P41" t="s">
        <v>41</v>
      </c>
      <c r="Q41">
        <v>1000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 t="s">
        <v>29</v>
      </c>
      <c r="AG41">
        <v>0</v>
      </c>
      <c r="AH41">
        <v>3</v>
      </c>
      <c r="AI41">
        <v>-1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ROW(Source!A30)</f>
        <v>30</v>
      </c>
      <c r="B42">
        <v>55658769</v>
      </c>
      <c r="C42">
        <v>55658753</v>
      </c>
      <c r="D42">
        <v>53659617</v>
      </c>
      <c r="E42">
        <v>1</v>
      </c>
      <c r="F42">
        <v>1</v>
      </c>
      <c r="G42">
        <v>1</v>
      </c>
      <c r="H42">
        <v>3</v>
      </c>
      <c r="I42" t="s">
        <v>70</v>
      </c>
      <c r="J42" t="s">
        <v>72</v>
      </c>
      <c r="K42" t="s">
        <v>71</v>
      </c>
      <c r="L42">
        <v>1348</v>
      </c>
      <c r="N42">
        <v>1009</v>
      </c>
      <c r="O42" t="s">
        <v>41</v>
      </c>
      <c r="P42" t="s">
        <v>41</v>
      </c>
      <c r="Q42">
        <v>1000</v>
      </c>
      <c r="X42">
        <v>0.0005</v>
      </c>
      <c r="Y42">
        <v>7712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29</v>
      </c>
      <c r="AG42">
        <v>0</v>
      </c>
      <c r="AH42">
        <v>2</v>
      </c>
      <c r="AI42">
        <v>55658769</v>
      </c>
      <c r="AJ42">
        <v>33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ROW(Source!A30)</f>
        <v>30</v>
      </c>
      <c r="B43">
        <v>55658770</v>
      </c>
      <c r="C43">
        <v>55658753</v>
      </c>
      <c r="D43">
        <v>53661716</v>
      </c>
      <c r="E43">
        <v>1</v>
      </c>
      <c r="F43">
        <v>1</v>
      </c>
      <c r="G43">
        <v>1</v>
      </c>
      <c r="H43">
        <v>3</v>
      </c>
      <c r="I43" t="s">
        <v>74</v>
      </c>
      <c r="J43" t="s">
        <v>77</v>
      </c>
      <c r="K43" t="s">
        <v>75</v>
      </c>
      <c r="L43">
        <v>1302</v>
      </c>
      <c r="N43">
        <v>1003</v>
      </c>
      <c r="O43" t="s">
        <v>76</v>
      </c>
      <c r="P43" t="s">
        <v>76</v>
      </c>
      <c r="Q43">
        <v>10</v>
      </c>
      <c r="X43">
        <v>0.0187</v>
      </c>
      <c r="Y43">
        <v>50.24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29</v>
      </c>
      <c r="AG43">
        <v>0</v>
      </c>
      <c r="AH43">
        <v>2</v>
      </c>
      <c r="AI43">
        <v>55658770</v>
      </c>
      <c r="AJ43">
        <v>34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ROW(Source!A30)</f>
        <v>30</v>
      </c>
      <c r="B44">
        <v>55658771</v>
      </c>
      <c r="C44">
        <v>55658753</v>
      </c>
      <c r="D44">
        <v>53662071</v>
      </c>
      <c r="E44">
        <v>1</v>
      </c>
      <c r="F44">
        <v>1</v>
      </c>
      <c r="G44">
        <v>1</v>
      </c>
      <c r="H44">
        <v>3</v>
      </c>
      <c r="I44" t="s">
        <v>79</v>
      </c>
      <c r="J44" t="s">
        <v>81</v>
      </c>
      <c r="K44" t="s">
        <v>80</v>
      </c>
      <c r="L44">
        <v>1348</v>
      </c>
      <c r="N44">
        <v>1009</v>
      </c>
      <c r="O44" t="s">
        <v>41</v>
      </c>
      <c r="P44" t="s">
        <v>41</v>
      </c>
      <c r="Q44">
        <v>1000</v>
      </c>
      <c r="X44">
        <v>3E-05</v>
      </c>
      <c r="Y44">
        <v>4455.2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29</v>
      </c>
      <c r="AG44">
        <v>0</v>
      </c>
      <c r="AH44">
        <v>2</v>
      </c>
      <c r="AI44">
        <v>55658771</v>
      </c>
      <c r="AJ44">
        <v>35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ROW(Source!A30)</f>
        <v>30</v>
      </c>
      <c r="B45">
        <v>55658772</v>
      </c>
      <c r="C45">
        <v>55658753</v>
      </c>
      <c r="D45">
        <v>53662794</v>
      </c>
      <c r="E45">
        <v>1</v>
      </c>
      <c r="F45">
        <v>1</v>
      </c>
      <c r="G45">
        <v>1</v>
      </c>
      <c r="H45">
        <v>3</v>
      </c>
      <c r="I45" t="s">
        <v>83</v>
      </c>
      <c r="J45" t="s">
        <v>85</v>
      </c>
      <c r="K45" t="s">
        <v>84</v>
      </c>
      <c r="L45">
        <v>1348</v>
      </c>
      <c r="N45">
        <v>1009</v>
      </c>
      <c r="O45" t="s">
        <v>41</v>
      </c>
      <c r="P45" t="s">
        <v>41</v>
      </c>
      <c r="Q45">
        <v>1000</v>
      </c>
      <c r="X45">
        <v>0.00194</v>
      </c>
      <c r="Y45">
        <v>4920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29</v>
      </c>
      <c r="AG45">
        <v>0</v>
      </c>
      <c r="AH45">
        <v>2</v>
      </c>
      <c r="AI45">
        <v>55658772</v>
      </c>
      <c r="AJ45">
        <v>36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ROW(Source!A30)</f>
        <v>30</v>
      </c>
      <c r="B46">
        <v>55658773</v>
      </c>
      <c r="C46">
        <v>55658753</v>
      </c>
      <c r="D46">
        <v>53666055</v>
      </c>
      <c r="E46">
        <v>1</v>
      </c>
      <c r="F46">
        <v>1</v>
      </c>
      <c r="G46">
        <v>1</v>
      </c>
      <c r="H46">
        <v>3</v>
      </c>
      <c r="I46" t="s">
        <v>87</v>
      </c>
      <c r="J46" t="s">
        <v>89</v>
      </c>
      <c r="K46" t="s">
        <v>88</v>
      </c>
      <c r="L46">
        <v>1339</v>
      </c>
      <c r="N46">
        <v>1007</v>
      </c>
      <c r="O46" t="s">
        <v>46</v>
      </c>
      <c r="P46" t="s">
        <v>46</v>
      </c>
      <c r="Q46">
        <v>1</v>
      </c>
      <c r="X46">
        <v>0.00103</v>
      </c>
      <c r="Y46">
        <v>1700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29</v>
      </c>
      <c r="AG46">
        <v>0</v>
      </c>
      <c r="AH46">
        <v>2</v>
      </c>
      <c r="AI46">
        <v>55658773</v>
      </c>
      <c r="AJ46">
        <v>37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ROW(Source!A30)</f>
        <v>30</v>
      </c>
      <c r="B47">
        <v>55658774</v>
      </c>
      <c r="C47">
        <v>55658753</v>
      </c>
      <c r="D47">
        <v>53673673</v>
      </c>
      <c r="E47">
        <v>1</v>
      </c>
      <c r="F47">
        <v>1</v>
      </c>
      <c r="G47">
        <v>1</v>
      </c>
      <c r="H47">
        <v>3</v>
      </c>
      <c r="I47" t="s">
        <v>91</v>
      </c>
      <c r="J47" t="s">
        <v>93</v>
      </c>
      <c r="K47" t="s">
        <v>92</v>
      </c>
      <c r="L47">
        <v>1348</v>
      </c>
      <c r="N47">
        <v>1009</v>
      </c>
      <c r="O47" t="s">
        <v>41</v>
      </c>
      <c r="P47" t="s">
        <v>41</v>
      </c>
      <c r="Q47">
        <v>1000</v>
      </c>
      <c r="X47">
        <v>0.00031</v>
      </c>
      <c r="Y47">
        <v>15620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29</v>
      </c>
      <c r="AG47">
        <v>0</v>
      </c>
      <c r="AH47">
        <v>2</v>
      </c>
      <c r="AI47">
        <v>55658774</v>
      </c>
      <c r="AJ47">
        <v>38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ROW(Source!A30)</f>
        <v>30</v>
      </c>
      <c r="B48">
        <v>55658775</v>
      </c>
      <c r="C48">
        <v>55658753</v>
      </c>
      <c r="D48">
        <v>53674786</v>
      </c>
      <c r="E48">
        <v>1</v>
      </c>
      <c r="F48">
        <v>1</v>
      </c>
      <c r="G48">
        <v>1</v>
      </c>
      <c r="H48">
        <v>3</v>
      </c>
      <c r="I48" t="s">
        <v>95</v>
      </c>
      <c r="J48" t="s">
        <v>97</v>
      </c>
      <c r="K48" t="s">
        <v>96</v>
      </c>
      <c r="L48">
        <v>1346</v>
      </c>
      <c r="N48">
        <v>1009</v>
      </c>
      <c r="O48" t="s">
        <v>51</v>
      </c>
      <c r="P48" t="s">
        <v>51</v>
      </c>
      <c r="Q48">
        <v>1</v>
      </c>
      <c r="X48">
        <v>0.6</v>
      </c>
      <c r="Y48">
        <v>9.42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29</v>
      </c>
      <c r="AG48">
        <v>0</v>
      </c>
      <c r="AH48">
        <v>2</v>
      </c>
      <c r="AI48">
        <v>55658775</v>
      </c>
      <c r="AJ48">
        <v>39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ROW(Source!A31)</f>
        <v>31</v>
      </c>
      <c r="B49">
        <v>55658754</v>
      </c>
      <c r="C49">
        <v>55658753</v>
      </c>
      <c r="D49">
        <v>53630125</v>
      </c>
      <c r="E49">
        <v>70</v>
      </c>
      <c r="F49">
        <v>1</v>
      </c>
      <c r="G49">
        <v>1</v>
      </c>
      <c r="H49">
        <v>1</v>
      </c>
      <c r="I49" t="s">
        <v>371</v>
      </c>
      <c r="K49" t="s">
        <v>372</v>
      </c>
      <c r="L49">
        <v>1191</v>
      </c>
      <c r="N49">
        <v>1013</v>
      </c>
      <c r="O49" t="s">
        <v>358</v>
      </c>
      <c r="P49" t="s">
        <v>358</v>
      </c>
      <c r="Q49">
        <v>1</v>
      </c>
      <c r="X49">
        <v>15.6</v>
      </c>
      <c r="Y49">
        <v>0</v>
      </c>
      <c r="Z49">
        <v>0</v>
      </c>
      <c r="AA49">
        <v>0</v>
      </c>
      <c r="AB49">
        <v>10.21</v>
      </c>
      <c r="AC49">
        <v>0</v>
      </c>
      <c r="AD49">
        <v>1</v>
      </c>
      <c r="AE49">
        <v>1</v>
      </c>
      <c r="AF49" t="s">
        <v>30</v>
      </c>
      <c r="AG49">
        <v>10.92</v>
      </c>
      <c r="AH49">
        <v>2</v>
      </c>
      <c r="AI49">
        <v>55658754</v>
      </c>
      <c r="AJ49">
        <v>40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ROW(Source!A31)</f>
        <v>31</v>
      </c>
      <c r="B50">
        <v>55658755</v>
      </c>
      <c r="C50">
        <v>55658753</v>
      </c>
      <c r="D50">
        <v>53630257</v>
      </c>
      <c r="E50">
        <v>70</v>
      </c>
      <c r="F50">
        <v>1</v>
      </c>
      <c r="G50">
        <v>1</v>
      </c>
      <c r="H50">
        <v>1</v>
      </c>
      <c r="I50" t="s">
        <v>359</v>
      </c>
      <c r="K50" t="s">
        <v>360</v>
      </c>
      <c r="L50">
        <v>1191</v>
      </c>
      <c r="N50">
        <v>1013</v>
      </c>
      <c r="O50" t="s">
        <v>358</v>
      </c>
      <c r="P50" t="s">
        <v>358</v>
      </c>
      <c r="Q50">
        <v>1</v>
      </c>
      <c r="X50">
        <v>2.88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F50" t="s">
        <v>30</v>
      </c>
      <c r="AG50">
        <v>2.016</v>
      </c>
      <c r="AH50">
        <v>2</v>
      </c>
      <c r="AI50">
        <v>55658755</v>
      </c>
      <c r="AJ50">
        <v>41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ROW(Source!A31)</f>
        <v>31</v>
      </c>
      <c r="B51">
        <v>55658756</v>
      </c>
      <c r="C51">
        <v>55658753</v>
      </c>
      <c r="D51">
        <v>53791943</v>
      </c>
      <c r="E51">
        <v>1</v>
      </c>
      <c r="F51">
        <v>1</v>
      </c>
      <c r="G51">
        <v>1</v>
      </c>
      <c r="H51">
        <v>2</v>
      </c>
      <c r="I51" t="s">
        <v>373</v>
      </c>
      <c r="J51" t="s">
        <v>374</v>
      </c>
      <c r="K51" t="s">
        <v>375</v>
      </c>
      <c r="L51">
        <v>1367</v>
      </c>
      <c r="N51">
        <v>1011</v>
      </c>
      <c r="O51" t="s">
        <v>364</v>
      </c>
      <c r="P51" t="s">
        <v>364</v>
      </c>
      <c r="Q51">
        <v>1</v>
      </c>
      <c r="X51">
        <v>0.68</v>
      </c>
      <c r="Y51">
        <v>0</v>
      </c>
      <c r="Z51">
        <v>312.21</v>
      </c>
      <c r="AA51">
        <v>15.42</v>
      </c>
      <c r="AB51">
        <v>0</v>
      </c>
      <c r="AC51">
        <v>0</v>
      </c>
      <c r="AD51">
        <v>1</v>
      </c>
      <c r="AE51">
        <v>0</v>
      </c>
      <c r="AF51" t="s">
        <v>30</v>
      </c>
      <c r="AG51">
        <v>0.476</v>
      </c>
      <c r="AH51">
        <v>2</v>
      </c>
      <c r="AI51">
        <v>55658756</v>
      </c>
      <c r="AJ51">
        <v>42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ROW(Source!A31)</f>
        <v>31</v>
      </c>
      <c r="B52">
        <v>55658757</v>
      </c>
      <c r="C52">
        <v>55658753</v>
      </c>
      <c r="D52">
        <v>53791952</v>
      </c>
      <c r="E52">
        <v>1</v>
      </c>
      <c r="F52">
        <v>1</v>
      </c>
      <c r="G52">
        <v>1</v>
      </c>
      <c r="H52">
        <v>2</v>
      </c>
      <c r="I52" t="s">
        <v>376</v>
      </c>
      <c r="J52" t="s">
        <v>377</v>
      </c>
      <c r="K52" t="s">
        <v>378</v>
      </c>
      <c r="L52">
        <v>1367</v>
      </c>
      <c r="N52">
        <v>1011</v>
      </c>
      <c r="O52" t="s">
        <v>364</v>
      </c>
      <c r="P52" t="s">
        <v>364</v>
      </c>
      <c r="Q52">
        <v>1</v>
      </c>
      <c r="X52">
        <v>1.68</v>
      </c>
      <c r="Y52">
        <v>0</v>
      </c>
      <c r="Z52">
        <v>120.24</v>
      </c>
      <c r="AA52">
        <v>15.42</v>
      </c>
      <c r="AB52">
        <v>0</v>
      </c>
      <c r="AC52">
        <v>0</v>
      </c>
      <c r="AD52">
        <v>1</v>
      </c>
      <c r="AE52">
        <v>0</v>
      </c>
      <c r="AF52" t="s">
        <v>30</v>
      </c>
      <c r="AG52">
        <v>1.176</v>
      </c>
      <c r="AH52">
        <v>2</v>
      </c>
      <c r="AI52">
        <v>55658757</v>
      </c>
      <c r="AJ52">
        <v>43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ROW(Source!A31)</f>
        <v>31</v>
      </c>
      <c r="B53">
        <v>55658758</v>
      </c>
      <c r="C53">
        <v>55658753</v>
      </c>
      <c r="D53">
        <v>53791997</v>
      </c>
      <c r="E53">
        <v>1</v>
      </c>
      <c r="F53">
        <v>1</v>
      </c>
      <c r="G53">
        <v>1</v>
      </c>
      <c r="H53">
        <v>2</v>
      </c>
      <c r="I53" t="s">
        <v>361</v>
      </c>
      <c r="J53" t="s">
        <v>362</v>
      </c>
      <c r="K53" t="s">
        <v>363</v>
      </c>
      <c r="L53">
        <v>1367</v>
      </c>
      <c r="N53">
        <v>1011</v>
      </c>
      <c r="O53" t="s">
        <v>364</v>
      </c>
      <c r="P53" t="s">
        <v>364</v>
      </c>
      <c r="Q53">
        <v>1</v>
      </c>
      <c r="X53">
        <v>0.21</v>
      </c>
      <c r="Y53">
        <v>0</v>
      </c>
      <c r="Z53">
        <v>115.4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30</v>
      </c>
      <c r="AG53">
        <v>0.147</v>
      </c>
      <c r="AH53">
        <v>2</v>
      </c>
      <c r="AI53">
        <v>55658758</v>
      </c>
      <c r="AJ53">
        <v>44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ROW(Source!A31)</f>
        <v>31</v>
      </c>
      <c r="B54">
        <v>55658759</v>
      </c>
      <c r="C54">
        <v>55658753</v>
      </c>
      <c r="D54">
        <v>53792927</v>
      </c>
      <c r="E54">
        <v>1</v>
      </c>
      <c r="F54">
        <v>1</v>
      </c>
      <c r="G54">
        <v>1</v>
      </c>
      <c r="H54">
        <v>2</v>
      </c>
      <c r="I54" t="s">
        <v>368</v>
      </c>
      <c r="J54" t="s">
        <v>369</v>
      </c>
      <c r="K54" t="s">
        <v>370</v>
      </c>
      <c r="L54">
        <v>1367</v>
      </c>
      <c r="N54">
        <v>1011</v>
      </c>
      <c r="O54" t="s">
        <v>364</v>
      </c>
      <c r="P54" t="s">
        <v>364</v>
      </c>
      <c r="Q54">
        <v>1</v>
      </c>
      <c r="X54">
        <v>0.31</v>
      </c>
      <c r="Y54">
        <v>0</v>
      </c>
      <c r="Z54">
        <v>65.71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30</v>
      </c>
      <c r="AG54">
        <v>0.217</v>
      </c>
      <c r="AH54">
        <v>2</v>
      </c>
      <c r="AI54">
        <v>55658759</v>
      </c>
      <c r="AJ54">
        <v>45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ROW(Source!A31)</f>
        <v>31</v>
      </c>
      <c r="B55">
        <v>55658760</v>
      </c>
      <c r="C55">
        <v>55658753</v>
      </c>
      <c r="D55">
        <v>53793082</v>
      </c>
      <c r="E55">
        <v>1</v>
      </c>
      <c r="F55">
        <v>1</v>
      </c>
      <c r="G55">
        <v>1</v>
      </c>
      <c r="H55">
        <v>2</v>
      </c>
      <c r="I55" t="s">
        <v>379</v>
      </c>
      <c r="J55" t="s">
        <v>380</v>
      </c>
      <c r="K55" t="s">
        <v>381</v>
      </c>
      <c r="L55">
        <v>1367</v>
      </c>
      <c r="N55">
        <v>1011</v>
      </c>
      <c r="O55" t="s">
        <v>364</v>
      </c>
      <c r="P55" t="s">
        <v>364</v>
      </c>
      <c r="Q55">
        <v>1</v>
      </c>
      <c r="X55">
        <v>2.38</v>
      </c>
      <c r="Y55">
        <v>0</v>
      </c>
      <c r="Z55">
        <v>1.2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30</v>
      </c>
      <c r="AG55">
        <v>1.666</v>
      </c>
      <c r="AH55">
        <v>2</v>
      </c>
      <c r="AI55">
        <v>55658760</v>
      </c>
      <c r="AJ55">
        <v>46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ROW(Source!A31)</f>
        <v>31</v>
      </c>
      <c r="B56">
        <v>55658761</v>
      </c>
      <c r="C56">
        <v>55658753</v>
      </c>
      <c r="D56">
        <v>53793125</v>
      </c>
      <c r="E56">
        <v>1</v>
      </c>
      <c r="F56">
        <v>1</v>
      </c>
      <c r="G56">
        <v>1</v>
      </c>
      <c r="H56">
        <v>2</v>
      </c>
      <c r="I56" t="s">
        <v>382</v>
      </c>
      <c r="J56" t="s">
        <v>383</v>
      </c>
      <c r="K56" t="s">
        <v>384</v>
      </c>
      <c r="L56">
        <v>1367</v>
      </c>
      <c r="N56">
        <v>1011</v>
      </c>
      <c r="O56" t="s">
        <v>364</v>
      </c>
      <c r="P56" t="s">
        <v>364</v>
      </c>
      <c r="Q56">
        <v>1</v>
      </c>
      <c r="X56">
        <v>0.48</v>
      </c>
      <c r="Y56">
        <v>0</v>
      </c>
      <c r="Z56">
        <v>12.31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30</v>
      </c>
      <c r="AG56">
        <v>0.33599999999999997</v>
      </c>
      <c r="AH56">
        <v>2</v>
      </c>
      <c r="AI56">
        <v>55658761</v>
      </c>
      <c r="AJ56">
        <v>47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ROW(Source!A31)</f>
        <v>31</v>
      </c>
      <c r="B57">
        <v>55658762</v>
      </c>
      <c r="C57">
        <v>55658753</v>
      </c>
      <c r="D57">
        <v>53640954</v>
      </c>
      <c r="E57">
        <v>1</v>
      </c>
      <c r="F57">
        <v>1</v>
      </c>
      <c r="G57">
        <v>1</v>
      </c>
      <c r="H57">
        <v>3</v>
      </c>
      <c r="I57" t="s">
        <v>44</v>
      </c>
      <c r="J57" t="s">
        <v>47</v>
      </c>
      <c r="K57" t="s">
        <v>45</v>
      </c>
      <c r="L57">
        <v>1339</v>
      </c>
      <c r="N57">
        <v>1007</v>
      </c>
      <c r="O57" t="s">
        <v>46</v>
      </c>
      <c r="P57" t="s">
        <v>46</v>
      </c>
      <c r="Q57">
        <v>1</v>
      </c>
      <c r="X57">
        <v>1.95</v>
      </c>
      <c r="Y57">
        <v>6.22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29</v>
      </c>
      <c r="AG57">
        <v>0</v>
      </c>
      <c r="AH57">
        <v>2</v>
      </c>
      <c r="AI57">
        <v>55658762</v>
      </c>
      <c r="AJ57">
        <v>48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ROW(Source!A31)</f>
        <v>31</v>
      </c>
      <c r="B58">
        <v>55658763</v>
      </c>
      <c r="C58">
        <v>55658753</v>
      </c>
      <c r="D58">
        <v>53640960</v>
      </c>
      <c r="E58">
        <v>1</v>
      </c>
      <c r="F58">
        <v>1</v>
      </c>
      <c r="G58">
        <v>1</v>
      </c>
      <c r="H58">
        <v>3</v>
      </c>
      <c r="I58" t="s">
        <v>49</v>
      </c>
      <c r="J58" t="s">
        <v>52</v>
      </c>
      <c r="K58" t="s">
        <v>50</v>
      </c>
      <c r="L58">
        <v>1346</v>
      </c>
      <c r="N58">
        <v>1009</v>
      </c>
      <c r="O58" t="s">
        <v>51</v>
      </c>
      <c r="P58" t="s">
        <v>51</v>
      </c>
      <c r="Q58">
        <v>1</v>
      </c>
      <c r="X58">
        <v>0.59</v>
      </c>
      <c r="Y58">
        <v>6.09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29</v>
      </c>
      <c r="AG58">
        <v>0</v>
      </c>
      <c r="AH58">
        <v>2</v>
      </c>
      <c r="AI58">
        <v>55658763</v>
      </c>
      <c r="AJ58">
        <v>49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ROW(Source!A31)</f>
        <v>31</v>
      </c>
      <c r="B59">
        <v>55658764</v>
      </c>
      <c r="C59">
        <v>55658753</v>
      </c>
      <c r="D59">
        <v>53643640</v>
      </c>
      <c r="E59">
        <v>1</v>
      </c>
      <c r="F59">
        <v>1</v>
      </c>
      <c r="G59">
        <v>1</v>
      </c>
      <c r="H59">
        <v>3</v>
      </c>
      <c r="I59" t="s">
        <v>54</v>
      </c>
      <c r="J59" t="s">
        <v>56</v>
      </c>
      <c r="K59" t="s">
        <v>55</v>
      </c>
      <c r="L59">
        <v>1348</v>
      </c>
      <c r="N59">
        <v>1009</v>
      </c>
      <c r="O59" t="s">
        <v>41</v>
      </c>
      <c r="P59" t="s">
        <v>41</v>
      </c>
      <c r="Q59">
        <v>1000</v>
      </c>
      <c r="X59">
        <v>0.0031</v>
      </c>
      <c r="Y59">
        <v>10315.01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29</v>
      </c>
      <c r="AG59">
        <v>0</v>
      </c>
      <c r="AH59">
        <v>2</v>
      </c>
      <c r="AI59">
        <v>55658764</v>
      </c>
      <c r="AJ59">
        <v>50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ROW(Source!A31)</f>
        <v>31</v>
      </c>
      <c r="B60">
        <v>55658765</v>
      </c>
      <c r="C60">
        <v>55658753</v>
      </c>
      <c r="D60">
        <v>53644840</v>
      </c>
      <c r="E60">
        <v>1</v>
      </c>
      <c r="F60">
        <v>1</v>
      </c>
      <c r="G60">
        <v>1</v>
      </c>
      <c r="H60">
        <v>3</v>
      </c>
      <c r="I60" t="s">
        <v>58</v>
      </c>
      <c r="J60" t="s">
        <v>60</v>
      </c>
      <c r="K60" t="s">
        <v>59</v>
      </c>
      <c r="L60">
        <v>1346</v>
      </c>
      <c r="N60">
        <v>1009</v>
      </c>
      <c r="O60" t="s">
        <v>51</v>
      </c>
      <c r="P60" t="s">
        <v>51</v>
      </c>
      <c r="Q60">
        <v>1</v>
      </c>
      <c r="X60">
        <v>3.1</v>
      </c>
      <c r="Y60">
        <v>9.04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29</v>
      </c>
      <c r="AG60">
        <v>0</v>
      </c>
      <c r="AH60">
        <v>2</v>
      </c>
      <c r="AI60">
        <v>55658765</v>
      </c>
      <c r="AJ60">
        <v>51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ROW(Source!A31)</f>
        <v>31</v>
      </c>
      <c r="B61">
        <v>55658766</v>
      </c>
      <c r="C61">
        <v>55658753</v>
      </c>
      <c r="D61">
        <v>53644939</v>
      </c>
      <c r="E61">
        <v>1</v>
      </c>
      <c r="F61">
        <v>1</v>
      </c>
      <c r="G61">
        <v>1</v>
      </c>
      <c r="H61">
        <v>3</v>
      </c>
      <c r="I61" t="s">
        <v>62</v>
      </c>
      <c r="J61" t="s">
        <v>64</v>
      </c>
      <c r="K61" t="s">
        <v>63</v>
      </c>
      <c r="L61">
        <v>1348</v>
      </c>
      <c r="N61">
        <v>1009</v>
      </c>
      <c r="O61" t="s">
        <v>41</v>
      </c>
      <c r="P61" t="s">
        <v>41</v>
      </c>
      <c r="Q61">
        <v>1000</v>
      </c>
      <c r="X61">
        <v>1E-05</v>
      </c>
      <c r="Y61">
        <v>11978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29</v>
      </c>
      <c r="AG61">
        <v>0</v>
      </c>
      <c r="AH61">
        <v>2</v>
      </c>
      <c r="AI61">
        <v>55658766</v>
      </c>
      <c r="AJ61">
        <v>52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ROW(Source!A31)</f>
        <v>31</v>
      </c>
      <c r="B62">
        <v>55658767</v>
      </c>
      <c r="C62">
        <v>55658753</v>
      </c>
      <c r="D62">
        <v>53646035</v>
      </c>
      <c r="E62">
        <v>1</v>
      </c>
      <c r="F62">
        <v>1</v>
      </c>
      <c r="G62">
        <v>1</v>
      </c>
      <c r="H62">
        <v>3</v>
      </c>
      <c r="I62" t="s">
        <v>66</v>
      </c>
      <c r="J62" t="s">
        <v>68</v>
      </c>
      <c r="K62" t="s">
        <v>67</v>
      </c>
      <c r="L62">
        <v>1348</v>
      </c>
      <c r="N62">
        <v>1009</v>
      </c>
      <c r="O62" t="s">
        <v>41</v>
      </c>
      <c r="P62" t="s">
        <v>41</v>
      </c>
      <c r="Q62">
        <v>1000</v>
      </c>
      <c r="X62">
        <v>0.0001</v>
      </c>
      <c r="Y62">
        <v>37900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29</v>
      </c>
      <c r="AG62">
        <v>0</v>
      </c>
      <c r="AH62">
        <v>2</v>
      </c>
      <c r="AI62">
        <v>55658767</v>
      </c>
      <c r="AJ62">
        <v>53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ROW(Source!A31)</f>
        <v>31</v>
      </c>
      <c r="B63">
        <v>55658768</v>
      </c>
      <c r="C63">
        <v>55658753</v>
      </c>
      <c r="D63">
        <v>53632028</v>
      </c>
      <c r="E63">
        <v>70</v>
      </c>
      <c r="F63">
        <v>1</v>
      </c>
      <c r="G63">
        <v>1</v>
      </c>
      <c r="H63">
        <v>3</v>
      </c>
      <c r="I63" t="s">
        <v>457</v>
      </c>
      <c r="K63" t="s">
        <v>458</v>
      </c>
      <c r="L63">
        <v>1348</v>
      </c>
      <c r="N63">
        <v>1009</v>
      </c>
      <c r="O63" t="s">
        <v>41</v>
      </c>
      <c r="P63" t="s">
        <v>41</v>
      </c>
      <c r="Q63">
        <v>1000</v>
      </c>
      <c r="X63">
        <v>1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 t="s">
        <v>29</v>
      </c>
      <c r="AG63">
        <v>0</v>
      </c>
      <c r="AH63">
        <v>3</v>
      </c>
      <c r="AI63">
        <v>-1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ROW(Source!A31)</f>
        <v>31</v>
      </c>
      <c r="B64">
        <v>55658769</v>
      </c>
      <c r="C64">
        <v>55658753</v>
      </c>
      <c r="D64">
        <v>53659617</v>
      </c>
      <c r="E64">
        <v>1</v>
      </c>
      <c r="F64">
        <v>1</v>
      </c>
      <c r="G64">
        <v>1</v>
      </c>
      <c r="H64">
        <v>3</v>
      </c>
      <c r="I64" t="s">
        <v>70</v>
      </c>
      <c r="J64" t="s">
        <v>72</v>
      </c>
      <c r="K64" t="s">
        <v>71</v>
      </c>
      <c r="L64">
        <v>1348</v>
      </c>
      <c r="N64">
        <v>1009</v>
      </c>
      <c r="O64" t="s">
        <v>41</v>
      </c>
      <c r="P64" t="s">
        <v>41</v>
      </c>
      <c r="Q64">
        <v>1000</v>
      </c>
      <c r="X64">
        <v>0.0005</v>
      </c>
      <c r="Y64">
        <v>7712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29</v>
      </c>
      <c r="AG64">
        <v>0</v>
      </c>
      <c r="AH64">
        <v>2</v>
      </c>
      <c r="AI64">
        <v>55658769</v>
      </c>
      <c r="AJ64">
        <v>54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ROW(Source!A31)</f>
        <v>31</v>
      </c>
      <c r="B65">
        <v>55658770</v>
      </c>
      <c r="C65">
        <v>55658753</v>
      </c>
      <c r="D65">
        <v>53661716</v>
      </c>
      <c r="E65">
        <v>1</v>
      </c>
      <c r="F65">
        <v>1</v>
      </c>
      <c r="G65">
        <v>1</v>
      </c>
      <c r="H65">
        <v>3</v>
      </c>
      <c r="I65" t="s">
        <v>74</v>
      </c>
      <c r="J65" t="s">
        <v>77</v>
      </c>
      <c r="K65" t="s">
        <v>75</v>
      </c>
      <c r="L65">
        <v>1302</v>
      </c>
      <c r="N65">
        <v>1003</v>
      </c>
      <c r="O65" t="s">
        <v>76</v>
      </c>
      <c r="P65" t="s">
        <v>76</v>
      </c>
      <c r="Q65">
        <v>10</v>
      </c>
      <c r="X65">
        <v>0.0187</v>
      </c>
      <c r="Y65">
        <v>50.24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29</v>
      </c>
      <c r="AG65">
        <v>0</v>
      </c>
      <c r="AH65">
        <v>2</v>
      </c>
      <c r="AI65">
        <v>55658770</v>
      </c>
      <c r="AJ65">
        <v>55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ROW(Source!A31)</f>
        <v>31</v>
      </c>
      <c r="B66">
        <v>55658771</v>
      </c>
      <c r="C66">
        <v>55658753</v>
      </c>
      <c r="D66">
        <v>53662071</v>
      </c>
      <c r="E66">
        <v>1</v>
      </c>
      <c r="F66">
        <v>1</v>
      </c>
      <c r="G66">
        <v>1</v>
      </c>
      <c r="H66">
        <v>3</v>
      </c>
      <c r="I66" t="s">
        <v>79</v>
      </c>
      <c r="J66" t="s">
        <v>81</v>
      </c>
      <c r="K66" t="s">
        <v>80</v>
      </c>
      <c r="L66">
        <v>1348</v>
      </c>
      <c r="N66">
        <v>1009</v>
      </c>
      <c r="O66" t="s">
        <v>41</v>
      </c>
      <c r="P66" t="s">
        <v>41</v>
      </c>
      <c r="Q66">
        <v>1000</v>
      </c>
      <c r="X66">
        <v>3E-05</v>
      </c>
      <c r="Y66">
        <v>4455.2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29</v>
      </c>
      <c r="AG66">
        <v>0</v>
      </c>
      <c r="AH66">
        <v>2</v>
      </c>
      <c r="AI66">
        <v>55658771</v>
      </c>
      <c r="AJ66">
        <v>56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ROW(Source!A31)</f>
        <v>31</v>
      </c>
      <c r="B67">
        <v>55658772</v>
      </c>
      <c r="C67">
        <v>55658753</v>
      </c>
      <c r="D67">
        <v>53662794</v>
      </c>
      <c r="E67">
        <v>1</v>
      </c>
      <c r="F67">
        <v>1</v>
      </c>
      <c r="G67">
        <v>1</v>
      </c>
      <c r="H67">
        <v>3</v>
      </c>
      <c r="I67" t="s">
        <v>83</v>
      </c>
      <c r="J67" t="s">
        <v>85</v>
      </c>
      <c r="K67" t="s">
        <v>84</v>
      </c>
      <c r="L67">
        <v>1348</v>
      </c>
      <c r="N67">
        <v>1009</v>
      </c>
      <c r="O67" t="s">
        <v>41</v>
      </c>
      <c r="P67" t="s">
        <v>41</v>
      </c>
      <c r="Q67">
        <v>1000</v>
      </c>
      <c r="X67">
        <v>0.00194</v>
      </c>
      <c r="Y67">
        <v>4920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29</v>
      </c>
      <c r="AG67">
        <v>0</v>
      </c>
      <c r="AH67">
        <v>2</v>
      </c>
      <c r="AI67">
        <v>55658772</v>
      </c>
      <c r="AJ67">
        <v>57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ROW(Source!A31)</f>
        <v>31</v>
      </c>
      <c r="B68">
        <v>55658773</v>
      </c>
      <c r="C68">
        <v>55658753</v>
      </c>
      <c r="D68">
        <v>53666055</v>
      </c>
      <c r="E68">
        <v>1</v>
      </c>
      <c r="F68">
        <v>1</v>
      </c>
      <c r="G68">
        <v>1</v>
      </c>
      <c r="H68">
        <v>3</v>
      </c>
      <c r="I68" t="s">
        <v>87</v>
      </c>
      <c r="J68" t="s">
        <v>89</v>
      </c>
      <c r="K68" t="s">
        <v>88</v>
      </c>
      <c r="L68">
        <v>1339</v>
      </c>
      <c r="N68">
        <v>1007</v>
      </c>
      <c r="O68" t="s">
        <v>46</v>
      </c>
      <c r="P68" t="s">
        <v>46</v>
      </c>
      <c r="Q68">
        <v>1</v>
      </c>
      <c r="X68">
        <v>0.00103</v>
      </c>
      <c r="Y68">
        <v>1700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29</v>
      </c>
      <c r="AG68">
        <v>0</v>
      </c>
      <c r="AH68">
        <v>2</v>
      </c>
      <c r="AI68">
        <v>55658773</v>
      </c>
      <c r="AJ68">
        <v>58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ROW(Source!A31)</f>
        <v>31</v>
      </c>
      <c r="B69">
        <v>55658774</v>
      </c>
      <c r="C69">
        <v>55658753</v>
      </c>
      <c r="D69">
        <v>53673673</v>
      </c>
      <c r="E69">
        <v>1</v>
      </c>
      <c r="F69">
        <v>1</v>
      </c>
      <c r="G69">
        <v>1</v>
      </c>
      <c r="H69">
        <v>3</v>
      </c>
      <c r="I69" t="s">
        <v>91</v>
      </c>
      <c r="J69" t="s">
        <v>93</v>
      </c>
      <c r="K69" t="s">
        <v>92</v>
      </c>
      <c r="L69">
        <v>1348</v>
      </c>
      <c r="N69">
        <v>1009</v>
      </c>
      <c r="O69" t="s">
        <v>41</v>
      </c>
      <c r="P69" t="s">
        <v>41</v>
      </c>
      <c r="Q69">
        <v>1000</v>
      </c>
      <c r="X69">
        <v>0.00031</v>
      </c>
      <c r="Y69">
        <v>15620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29</v>
      </c>
      <c r="AG69">
        <v>0</v>
      </c>
      <c r="AH69">
        <v>2</v>
      </c>
      <c r="AI69">
        <v>55658774</v>
      </c>
      <c r="AJ69">
        <v>59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ROW(Source!A31)</f>
        <v>31</v>
      </c>
      <c r="B70">
        <v>55658775</v>
      </c>
      <c r="C70">
        <v>55658753</v>
      </c>
      <c r="D70">
        <v>53674786</v>
      </c>
      <c r="E70">
        <v>1</v>
      </c>
      <c r="F70">
        <v>1</v>
      </c>
      <c r="G70">
        <v>1</v>
      </c>
      <c r="H70">
        <v>3</v>
      </c>
      <c r="I70" t="s">
        <v>95</v>
      </c>
      <c r="J70" t="s">
        <v>97</v>
      </c>
      <c r="K70" t="s">
        <v>96</v>
      </c>
      <c r="L70">
        <v>1346</v>
      </c>
      <c r="N70">
        <v>1009</v>
      </c>
      <c r="O70" t="s">
        <v>51</v>
      </c>
      <c r="P70" t="s">
        <v>51</v>
      </c>
      <c r="Q70">
        <v>1</v>
      </c>
      <c r="X70">
        <v>0.6</v>
      </c>
      <c r="Y70">
        <v>9.42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29</v>
      </c>
      <c r="AG70">
        <v>0</v>
      </c>
      <c r="AH70">
        <v>2</v>
      </c>
      <c r="AI70">
        <v>55658775</v>
      </c>
      <c r="AJ70">
        <v>60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ROW(Source!A58)</f>
        <v>58</v>
      </c>
      <c r="B71">
        <v>55658836</v>
      </c>
      <c r="C71">
        <v>55658829</v>
      </c>
      <c r="D71">
        <v>37822902</v>
      </c>
      <c r="E71">
        <v>70</v>
      </c>
      <c r="F71">
        <v>1</v>
      </c>
      <c r="G71">
        <v>1</v>
      </c>
      <c r="H71">
        <v>1</v>
      </c>
      <c r="I71" t="s">
        <v>385</v>
      </c>
      <c r="K71" t="s">
        <v>386</v>
      </c>
      <c r="L71">
        <v>1191</v>
      </c>
      <c r="N71">
        <v>1013</v>
      </c>
      <c r="O71" t="s">
        <v>358</v>
      </c>
      <c r="P71" t="s">
        <v>358</v>
      </c>
      <c r="Q71">
        <v>1</v>
      </c>
      <c r="X71">
        <v>289</v>
      </c>
      <c r="Y71">
        <v>0</v>
      </c>
      <c r="Z71">
        <v>0</v>
      </c>
      <c r="AA71">
        <v>0</v>
      </c>
      <c r="AB71">
        <v>8.86</v>
      </c>
      <c r="AC71">
        <v>0</v>
      </c>
      <c r="AD71">
        <v>1</v>
      </c>
      <c r="AE71">
        <v>1</v>
      </c>
      <c r="AF71" t="s">
        <v>30</v>
      </c>
      <c r="AG71">
        <v>202.29999999999998</v>
      </c>
      <c r="AH71">
        <v>2</v>
      </c>
      <c r="AI71">
        <v>55658830</v>
      </c>
      <c r="AJ71">
        <v>61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ROW(Source!A58)</f>
        <v>58</v>
      </c>
      <c r="B72">
        <v>55658837</v>
      </c>
      <c r="C72">
        <v>55658829</v>
      </c>
      <c r="D72">
        <v>37822850</v>
      </c>
      <c r="E72">
        <v>70</v>
      </c>
      <c r="F72">
        <v>1</v>
      </c>
      <c r="G72">
        <v>1</v>
      </c>
      <c r="H72">
        <v>1</v>
      </c>
      <c r="I72" t="s">
        <v>359</v>
      </c>
      <c r="K72" t="s">
        <v>360</v>
      </c>
      <c r="L72">
        <v>1191</v>
      </c>
      <c r="N72">
        <v>1013</v>
      </c>
      <c r="O72" t="s">
        <v>358</v>
      </c>
      <c r="P72" t="s">
        <v>358</v>
      </c>
      <c r="Q72">
        <v>1</v>
      </c>
      <c r="X72">
        <v>0.59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30</v>
      </c>
      <c r="AG72">
        <v>0.413</v>
      </c>
      <c r="AH72">
        <v>2</v>
      </c>
      <c r="AI72">
        <v>55658831</v>
      </c>
      <c r="AJ72">
        <v>62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ROW(Source!A58)</f>
        <v>58</v>
      </c>
      <c r="B73">
        <v>55658838</v>
      </c>
      <c r="C73">
        <v>55658829</v>
      </c>
      <c r="D73">
        <v>53791997</v>
      </c>
      <c r="E73">
        <v>1</v>
      </c>
      <c r="F73">
        <v>1</v>
      </c>
      <c r="G73">
        <v>1</v>
      </c>
      <c r="H73">
        <v>2</v>
      </c>
      <c r="I73" t="s">
        <v>361</v>
      </c>
      <c r="J73" t="s">
        <v>362</v>
      </c>
      <c r="K73" t="s">
        <v>363</v>
      </c>
      <c r="L73">
        <v>1367</v>
      </c>
      <c r="N73">
        <v>1011</v>
      </c>
      <c r="O73" t="s">
        <v>364</v>
      </c>
      <c r="P73" t="s">
        <v>364</v>
      </c>
      <c r="Q73">
        <v>1</v>
      </c>
      <c r="X73">
        <v>0.25</v>
      </c>
      <c r="Y73">
        <v>0</v>
      </c>
      <c r="Z73">
        <v>115.4</v>
      </c>
      <c r="AA73">
        <v>13.5</v>
      </c>
      <c r="AB73">
        <v>0</v>
      </c>
      <c r="AC73">
        <v>0</v>
      </c>
      <c r="AD73">
        <v>1</v>
      </c>
      <c r="AE73">
        <v>0</v>
      </c>
      <c r="AF73" t="s">
        <v>30</v>
      </c>
      <c r="AG73">
        <v>0.175</v>
      </c>
      <c r="AH73">
        <v>2</v>
      </c>
      <c r="AI73">
        <v>55658832</v>
      </c>
      <c r="AJ73">
        <v>63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ROW(Source!A58)</f>
        <v>58</v>
      </c>
      <c r="B74">
        <v>55658839</v>
      </c>
      <c r="C74">
        <v>55658829</v>
      </c>
      <c r="D74">
        <v>53792927</v>
      </c>
      <c r="E74">
        <v>1</v>
      </c>
      <c r="F74">
        <v>1</v>
      </c>
      <c r="G74">
        <v>1</v>
      </c>
      <c r="H74">
        <v>2</v>
      </c>
      <c r="I74" t="s">
        <v>368</v>
      </c>
      <c r="J74" t="s">
        <v>369</v>
      </c>
      <c r="K74" t="s">
        <v>370</v>
      </c>
      <c r="L74">
        <v>1367</v>
      </c>
      <c r="N74">
        <v>1011</v>
      </c>
      <c r="O74" t="s">
        <v>364</v>
      </c>
      <c r="P74" t="s">
        <v>364</v>
      </c>
      <c r="Q74">
        <v>1</v>
      </c>
      <c r="X74">
        <v>0.34</v>
      </c>
      <c r="Y74">
        <v>0</v>
      </c>
      <c r="Z74">
        <v>65.71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30</v>
      </c>
      <c r="AG74">
        <v>0.238</v>
      </c>
      <c r="AH74">
        <v>2</v>
      </c>
      <c r="AI74">
        <v>55658833</v>
      </c>
      <c r="AJ74">
        <v>64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ROW(Source!A58)</f>
        <v>58</v>
      </c>
      <c r="B75">
        <v>55658840</v>
      </c>
      <c r="C75">
        <v>55658829</v>
      </c>
      <c r="D75">
        <v>53659482</v>
      </c>
      <c r="E75">
        <v>1</v>
      </c>
      <c r="F75">
        <v>1</v>
      </c>
      <c r="G75">
        <v>1</v>
      </c>
      <c r="H75">
        <v>3</v>
      </c>
      <c r="I75" t="s">
        <v>107</v>
      </c>
      <c r="J75" t="s">
        <v>110</v>
      </c>
      <c r="K75" t="s">
        <v>108</v>
      </c>
      <c r="L75">
        <v>1371</v>
      </c>
      <c r="N75">
        <v>1013</v>
      </c>
      <c r="O75" t="s">
        <v>109</v>
      </c>
      <c r="P75" t="s">
        <v>109</v>
      </c>
      <c r="Q75">
        <v>1</v>
      </c>
      <c r="X75">
        <v>0.01</v>
      </c>
      <c r="Y75">
        <v>346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29</v>
      </c>
      <c r="AG75">
        <v>0</v>
      </c>
      <c r="AH75">
        <v>2</v>
      </c>
      <c r="AI75">
        <v>55658834</v>
      </c>
      <c r="AJ75">
        <v>65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ROW(Source!A58)</f>
        <v>58</v>
      </c>
      <c r="B76">
        <v>55658841</v>
      </c>
      <c r="C76">
        <v>55658829</v>
      </c>
      <c r="D76">
        <v>53662892</v>
      </c>
      <c r="E76">
        <v>1</v>
      </c>
      <c r="F76">
        <v>1</v>
      </c>
      <c r="G76">
        <v>1</v>
      </c>
      <c r="H76">
        <v>3</v>
      </c>
      <c r="I76" t="s">
        <v>112</v>
      </c>
      <c r="J76" t="s">
        <v>114</v>
      </c>
      <c r="K76" t="s">
        <v>113</v>
      </c>
      <c r="L76">
        <v>1348</v>
      </c>
      <c r="N76">
        <v>1009</v>
      </c>
      <c r="O76" t="s">
        <v>41</v>
      </c>
      <c r="P76" t="s">
        <v>41</v>
      </c>
      <c r="Q76">
        <v>1000</v>
      </c>
      <c r="X76">
        <v>1</v>
      </c>
      <c r="Y76">
        <v>10100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29</v>
      </c>
      <c r="AG76">
        <v>0</v>
      </c>
      <c r="AH76">
        <v>2</v>
      </c>
      <c r="AI76">
        <v>55658835</v>
      </c>
      <c r="AJ76">
        <v>66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ROW(Source!A59)</f>
        <v>59</v>
      </c>
      <c r="B77">
        <v>55658836</v>
      </c>
      <c r="C77">
        <v>55658829</v>
      </c>
      <c r="D77">
        <v>37822902</v>
      </c>
      <c r="E77">
        <v>70</v>
      </c>
      <c r="F77">
        <v>1</v>
      </c>
      <c r="G77">
        <v>1</v>
      </c>
      <c r="H77">
        <v>1</v>
      </c>
      <c r="I77" t="s">
        <v>385</v>
      </c>
      <c r="K77" t="s">
        <v>386</v>
      </c>
      <c r="L77">
        <v>1191</v>
      </c>
      <c r="N77">
        <v>1013</v>
      </c>
      <c r="O77" t="s">
        <v>358</v>
      </c>
      <c r="P77" t="s">
        <v>358</v>
      </c>
      <c r="Q77">
        <v>1</v>
      </c>
      <c r="X77">
        <v>289</v>
      </c>
      <c r="Y77">
        <v>0</v>
      </c>
      <c r="Z77">
        <v>0</v>
      </c>
      <c r="AA77">
        <v>0</v>
      </c>
      <c r="AB77">
        <v>8.86</v>
      </c>
      <c r="AC77">
        <v>0</v>
      </c>
      <c r="AD77">
        <v>1</v>
      </c>
      <c r="AE77">
        <v>1</v>
      </c>
      <c r="AF77" t="s">
        <v>30</v>
      </c>
      <c r="AG77">
        <v>202.29999999999998</v>
      </c>
      <c r="AH77">
        <v>2</v>
      </c>
      <c r="AI77">
        <v>55658830</v>
      </c>
      <c r="AJ77">
        <v>67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ROW(Source!A59)</f>
        <v>59</v>
      </c>
      <c r="B78">
        <v>55658837</v>
      </c>
      <c r="C78">
        <v>55658829</v>
      </c>
      <c r="D78">
        <v>37822850</v>
      </c>
      <c r="E78">
        <v>70</v>
      </c>
      <c r="F78">
        <v>1</v>
      </c>
      <c r="G78">
        <v>1</v>
      </c>
      <c r="H78">
        <v>1</v>
      </c>
      <c r="I78" t="s">
        <v>359</v>
      </c>
      <c r="K78" t="s">
        <v>360</v>
      </c>
      <c r="L78">
        <v>1191</v>
      </c>
      <c r="N78">
        <v>1013</v>
      </c>
      <c r="O78" t="s">
        <v>358</v>
      </c>
      <c r="P78" t="s">
        <v>358</v>
      </c>
      <c r="Q78">
        <v>1</v>
      </c>
      <c r="X78">
        <v>0.59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30</v>
      </c>
      <c r="AG78">
        <v>0.413</v>
      </c>
      <c r="AH78">
        <v>2</v>
      </c>
      <c r="AI78">
        <v>55658831</v>
      </c>
      <c r="AJ78">
        <v>68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ROW(Source!A59)</f>
        <v>59</v>
      </c>
      <c r="B79">
        <v>55658838</v>
      </c>
      <c r="C79">
        <v>55658829</v>
      </c>
      <c r="D79">
        <v>53791997</v>
      </c>
      <c r="E79">
        <v>1</v>
      </c>
      <c r="F79">
        <v>1</v>
      </c>
      <c r="G79">
        <v>1</v>
      </c>
      <c r="H79">
        <v>2</v>
      </c>
      <c r="I79" t="s">
        <v>361</v>
      </c>
      <c r="J79" t="s">
        <v>362</v>
      </c>
      <c r="K79" t="s">
        <v>363</v>
      </c>
      <c r="L79">
        <v>1367</v>
      </c>
      <c r="N79">
        <v>1011</v>
      </c>
      <c r="O79" t="s">
        <v>364</v>
      </c>
      <c r="P79" t="s">
        <v>364</v>
      </c>
      <c r="Q79">
        <v>1</v>
      </c>
      <c r="X79">
        <v>0.25</v>
      </c>
      <c r="Y79">
        <v>0</v>
      </c>
      <c r="Z79">
        <v>115.4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30</v>
      </c>
      <c r="AG79">
        <v>0.175</v>
      </c>
      <c r="AH79">
        <v>2</v>
      </c>
      <c r="AI79">
        <v>55658832</v>
      </c>
      <c r="AJ79">
        <v>69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ROW(Source!A59)</f>
        <v>59</v>
      </c>
      <c r="B80">
        <v>55658839</v>
      </c>
      <c r="C80">
        <v>55658829</v>
      </c>
      <c r="D80">
        <v>53792927</v>
      </c>
      <c r="E80">
        <v>1</v>
      </c>
      <c r="F80">
        <v>1</v>
      </c>
      <c r="G80">
        <v>1</v>
      </c>
      <c r="H80">
        <v>2</v>
      </c>
      <c r="I80" t="s">
        <v>368</v>
      </c>
      <c r="J80" t="s">
        <v>369</v>
      </c>
      <c r="K80" t="s">
        <v>370</v>
      </c>
      <c r="L80">
        <v>1367</v>
      </c>
      <c r="N80">
        <v>1011</v>
      </c>
      <c r="O80" t="s">
        <v>364</v>
      </c>
      <c r="P80" t="s">
        <v>364</v>
      </c>
      <c r="Q80">
        <v>1</v>
      </c>
      <c r="X80">
        <v>0.34</v>
      </c>
      <c r="Y80">
        <v>0</v>
      </c>
      <c r="Z80">
        <v>65.71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30</v>
      </c>
      <c r="AG80">
        <v>0.238</v>
      </c>
      <c r="AH80">
        <v>2</v>
      </c>
      <c r="AI80">
        <v>55658833</v>
      </c>
      <c r="AJ80">
        <v>70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ROW(Source!A59)</f>
        <v>59</v>
      </c>
      <c r="B81">
        <v>55658840</v>
      </c>
      <c r="C81">
        <v>55658829</v>
      </c>
      <c r="D81">
        <v>53659482</v>
      </c>
      <c r="E81">
        <v>1</v>
      </c>
      <c r="F81">
        <v>1</v>
      </c>
      <c r="G81">
        <v>1</v>
      </c>
      <c r="H81">
        <v>3</v>
      </c>
      <c r="I81" t="s">
        <v>107</v>
      </c>
      <c r="J81" t="s">
        <v>110</v>
      </c>
      <c r="K81" t="s">
        <v>108</v>
      </c>
      <c r="L81">
        <v>1371</v>
      </c>
      <c r="N81">
        <v>1013</v>
      </c>
      <c r="O81" t="s">
        <v>109</v>
      </c>
      <c r="P81" t="s">
        <v>109</v>
      </c>
      <c r="Q81">
        <v>1</v>
      </c>
      <c r="X81">
        <v>0.01</v>
      </c>
      <c r="Y81">
        <v>346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29</v>
      </c>
      <c r="AG81">
        <v>0</v>
      </c>
      <c r="AH81">
        <v>2</v>
      </c>
      <c r="AI81">
        <v>55658834</v>
      </c>
      <c r="AJ81">
        <v>71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ROW(Source!A59)</f>
        <v>59</v>
      </c>
      <c r="B82">
        <v>55658841</v>
      </c>
      <c r="C82">
        <v>55658829</v>
      </c>
      <c r="D82">
        <v>53662892</v>
      </c>
      <c r="E82">
        <v>1</v>
      </c>
      <c r="F82">
        <v>1</v>
      </c>
      <c r="G82">
        <v>1</v>
      </c>
      <c r="H82">
        <v>3</v>
      </c>
      <c r="I82" t="s">
        <v>112</v>
      </c>
      <c r="J82" t="s">
        <v>114</v>
      </c>
      <c r="K82" t="s">
        <v>113</v>
      </c>
      <c r="L82">
        <v>1348</v>
      </c>
      <c r="N82">
        <v>1009</v>
      </c>
      <c r="O82" t="s">
        <v>41</v>
      </c>
      <c r="P82" t="s">
        <v>41</v>
      </c>
      <c r="Q82">
        <v>1000</v>
      </c>
      <c r="X82">
        <v>1</v>
      </c>
      <c r="Y82">
        <v>10100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29</v>
      </c>
      <c r="AG82">
        <v>0</v>
      </c>
      <c r="AH82">
        <v>2</v>
      </c>
      <c r="AI82">
        <v>55658835</v>
      </c>
      <c r="AJ82">
        <v>72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ROW(Source!A64)</f>
        <v>64</v>
      </c>
      <c r="B83">
        <v>55658800</v>
      </c>
      <c r="C83">
        <v>55658777</v>
      </c>
      <c r="D83">
        <v>37822923</v>
      </c>
      <c r="E83">
        <v>70</v>
      </c>
      <c r="F83">
        <v>1</v>
      </c>
      <c r="G83">
        <v>1</v>
      </c>
      <c r="H83">
        <v>1</v>
      </c>
      <c r="I83" t="s">
        <v>371</v>
      </c>
      <c r="K83" t="s">
        <v>372</v>
      </c>
      <c r="L83">
        <v>1191</v>
      </c>
      <c r="N83">
        <v>1013</v>
      </c>
      <c r="O83" t="s">
        <v>358</v>
      </c>
      <c r="P83" t="s">
        <v>358</v>
      </c>
      <c r="Q83">
        <v>1</v>
      </c>
      <c r="X83">
        <v>15.6</v>
      </c>
      <c r="Y83">
        <v>0</v>
      </c>
      <c r="Z83">
        <v>0</v>
      </c>
      <c r="AA83">
        <v>0</v>
      </c>
      <c r="AB83">
        <v>10.21</v>
      </c>
      <c r="AC83">
        <v>0</v>
      </c>
      <c r="AD83">
        <v>1</v>
      </c>
      <c r="AE83">
        <v>1</v>
      </c>
      <c r="AF83" t="s">
        <v>118</v>
      </c>
      <c r="AG83">
        <v>17.939999999999998</v>
      </c>
      <c r="AH83">
        <v>2</v>
      </c>
      <c r="AI83">
        <v>55658778</v>
      </c>
      <c r="AJ83">
        <v>73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ROW(Source!A64)</f>
        <v>64</v>
      </c>
      <c r="B84">
        <v>55658801</v>
      </c>
      <c r="C84">
        <v>55658777</v>
      </c>
      <c r="D84">
        <v>37822850</v>
      </c>
      <c r="E84">
        <v>70</v>
      </c>
      <c r="F84">
        <v>1</v>
      </c>
      <c r="G84">
        <v>1</v>
      </c>
      <c r="H84">
        <v>1</v>
      </c>
      <c r="I84" t="s">
        <v>359</v>
      </c>
      <c r="K84" t="s">
        <v>360</v>
      </c>
      <c r="L84">
        <v>1191</v>
      </c>
      <c r="N84">
        <v>1013</v>
      </c>
      <c r="O84" t="s">
        <v>358</v>
      </c>
      <c r="P84" t="s">
        <v>358</v>
      </c>
      <c r="Q84">
        <v>1</v>
      </c>
      <c r="X84">
        <v>2.88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117</v>
      </c>
      <c r="AG84">
        <v>3.5999999999999996</v>
      </c>
      <c r="AH84">
        <v>2</v>
      </c>
      <c r="AI84">
        <v>55658779</v>
      </c>
      <c r="AJ84">
        <v>74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ROW(Source!A64)</f>
        <v>64</v>
      </c>
      <c r="B85">
        <v>55658802</v>
      </c>
      <c r="C85">
        <v>55658777</v>
      </c>
      <c r="D85">
        <v>53791943</v>
      </c>
      <c r="E85">
        <v>1</v>
      </c>
      <c r="F85">
        <v>1</v>
      </c>
      <c r="G85">
        <v>1</v>
      </c>
      <c r="H85">
        <v>2</v>
      </c>
      <c r="I85" t="s">
        <v>373</v>
      </c>
      <c r="J85" t="s">
        <v>374</v>
      </c>
      <c r="K85" t="s">
        <v>375</v>
      </c>
      <c r="L85">
        <v>1367</v>
      </c>
      <c r="N85">
        <v>1011</v>
      </c>
      <c r="O85" t="s">
        <v>364</v>
      </c>
      <c r="P85" t="s">
        <v>364</v>
      </c>
      <c r="Q85">
        <v>1</v>
      </c>
      <c r="X85">
        <v>0.68</v>
      </c>
      <c r="Y85">
        <v>0</v>
      </c>
      <c r="Z85">
        <v>312.21</v>
      </c>
      <c r="AA85">
        <v>15.42</v>
      </c>
      <c r="AB85">
        <v>0</v>
      </c>
      <c r="AC85">
        <v>0</v>
      </c>
      <c r="AD85">
        <v>1</v>
      </c>
      <c r="AE85">
        <v>0</v>
      </c>
      <c r="AF85" t="s">
        <v>117</v>
      </c>
      <c r="AG85">
        <v>0.8500000000000001</v>
      </c>
      <c r="AH85">
        <v>2</v>
      </c>
      <c r="AI85">
        <v>55658780</v>
      </c>
      <c r="AJ85">
        <v>75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ROW(Source!A64)</f>
        <v>64</v>
      </c>
      <c r="B86">
        <v>55658803</v>
      </c>
      <c r="C86">
        <v>55658777</v>
      </c>
      <c r="D86">
        <v>53791952</v>
      </c>
      <c r="E86">
        <v>1</v>
      </c>
      <c r="F86">
        <v>1</v>
      </c>
      <c r="G86">
        <v>1</v>
      </c>
      <c r="H86">
        <v>2</v>
      </c>
      <c r="I86" t="s">
        <v>376</v>
      </c>
      <c r="J86" t="s">
        <v>377</v>
      </c>
      <c r="K86" t="s">
        <v>378</v>
      </c>
      <c r="L86">
        <v>1367</v>
      </c>
      <c r="N86">
        <v>1011</v>
      </c>
      <c r="O86" t="s">
        <v>364</v>
      </c>
      <c r="P86" t="s">
        <v>364</v>
      </c>
      <c r="Q86">
        <v>1</v>
      </c>
      <c r="X86">
        <v>1.68</v>
      </c>
      <c r="Y86">
        <v>0</v>
      </c>
      <c r="Z86">
        <v>120.24</v>
      </c>
      <c r="AA86">
        <v>15.42</v>
      </c>
      <c r="AB86">
        <v>0</v>
      </c>
      <c r="AC86">
        <v>0</v>
      </c>
      <c r="AD86">
        <v>1</v>
      </c>
      <c r="AE86">
        <v>0</v>
      </c>
      <c r="AF86" t="s">
        <v>117</v>
      </c>
      <c r="AG86">
        <v>2.1</v>
      </c>
      <c r="AH86">
        <v>2</v>
      </c>
      <c r="AI86">
        <v>55658781</v>
      </c>
      <c r="AJ86">
        <v>76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ROW(Source!A64)</f>
        <v>64</v>
      </c>
      <c r="B87">
        <v>55658804</v>
      </c>
      <c r="C87">
        <v>55658777</v>
      </c>
      <c r="D87">
        <v>53791997</v>
      </c>
      <c r="E87">
        <v>1</v>
      </c>
      <c r="F87">
        <v>1</v>
      </c>
      <c r="G87">
        <v>1</v>
      </c>
      <c r="H87">
        <v>2</v>
      </c>
      <c r="I87" t="s">
        <v>361</v>
      </c>
      <c r="J87" t="s">
        <v>362</v>
      </c>
      <c r="K87" t="s">
        <v>363</v>
      </c>
      <c r="L87">
        <v>1367</v>
      </c>
      <c r="N87">
        <v>1011</v>
      </c>
      <c r="O87" t="s">
        <v>364</v>
      </c>
      <c r="P87" t="s">
        <v>364</v>
      </c>
      <c r="Q87">
        <v>1</v>
      </c>
      <c r="X87">
        <v>0.21</v>
      </c>
      <c r="Y87">
        <v>0</v>
      </c>
      <c r="Z87">
        <v>115.4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117</v>
      </c>
      <c r="AG87">
        <v>0.2625</v>
      </c>
      <c r="AH87">
        <v>2</v>
      </c>
      <c r="AI87">
        <v>55658782</v>
      </c>
      <c r="AJ87">
        <v>77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ROW(Source!A64)</f>
        <v>64</v>
      </c>
      <c r="B88">
        <v>55658805</v>
      </c>
      <c r="C88">
        <v>55658777</v>
      </c>
      <c r="D88">
        <v>53792927</v>
      </c>
      <c r="E88">
        <v>1</v>
      </c>
      <c r="F88">
        <v>1</v>
      </c>
      <c r="G88">
        <v>1</v>
      </c>
      <c r="H88">
        <v>2</v>
      </c>
      <c r="I88" t="s">
        <v>368</v>
      </c>
      <c r="J88" t="s">
        <v>369</v>
      </c>
      <c r="K88" t="s">
        <v>370</v>
      </c>
      <c r="L88">
        <v>1367</v>
      </c>
      <c r="N88">
        <v>1011</v>
      </c>
      <c r="O88" t="s">
        <v>364</v>
      </c>
      <c r="P88" t="s">
        <v>364</v>
      </c>
      <c r="Q88">
        <v>1</v>
      </c>
      <c r="X88">
        <v>0.31</v>
      </c>
      <c r="Y88">
        <v>0</v>
      </c>
      <c r="Z88">
        <v>65.71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117</v>
      </c>
      <c r="AG88">
        <v>0.3875</v>
      </c>
      <c r="AH88">
        <v>2</v>
      </c>
      <c r="AI88">
        <v>55658783</v>
      </c>
      <c r="AJ88">
        <v>78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ROW(Source!A64)</f>
        <v>64</v>
      </c>
      <c r="B89">
        <v>55658806</v>
      </c>
      <c r="C89">
        <v>55658777</v>
      </c>
      <c r="D89">
        <v>53793082</v>
      </c>
      <c r="E89">
        <v>1</v>
      </c>
      <c r="F89">
        <v>1</v>
      </c>
      <c r="G89">
        <v>1</v>
      </c>
      <c r="H89">
        <v>2</v>
      </c>
      <c r="I89" t="s">
        <v>379</v>
      </c>
      <c r="J89" t="s">
        <v>380</v>
      </c>
      <c r="K89" t="s">
        <v>381</v>
      </c>
      <c r="L89">
        <v>1367</v>
      </c>
      <c r="N89">
        <v>1011</v>
      </c>
      <c r="O89" t="s">
        <v>364</v>
      </c>
      <c r="P89" t="s">
        <v>364</v>
      </c>
      <c r="Q89">
        <v>1</v>
      </c>
      <c r="X89">
        <v>2.38</v>
      </c>
      <c r="Y89">
        <v>0</v>
      </c>
      <c r="Z89">
        <v>1.2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117</v>
      </c>
      <c r="AG89">
        <v>2.9749999999999996</v>
      </c>
      <c r="AH89">
        <v>2</v>
      </c>
      <c r="AI89">
        <v>55658784</v>
      </c>
      <c r="AJ89">
        <v>79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ROW(Source!A64)</f>
        <v>64</v>
      </c>
      <c r="B90">
        <v>55658807</v>
      </c>
      <c r="C90">
        <v>55658777</v>
      </c>
      <c r="D90">
        <v>53793125</v>
      </c>
      <c r="E90">
        <v>1</v>
      </c>
      <c r="F90">
        <v>1</v>
      </c>
      <c r="G90">
        <v>1</v>
      </c>
      <c r="H90">
        <v>2</v>
      </c>
      <c r="I90" t="s">
        <v>382</v>
      </c>
      <c r="J90" t="s">
        <v>383</v>
      </c>
      <c r="K90" t="s">
        <v>384</v>
      </c>
      <c r="L90">
        <v>1367</v>
      </c>
      <c r="N90">
        <v>1011</v>
      </c>
      <c r="O90" t="s">
        <v>364</v>
      </c>
      <c r="P90" t="s">
        <v>364</v>
      </c>
      <c r="Q90">
        <v>1</v>
      </c>
      <c r="X90">
        <v>0.48</v>
      </c>
      <c r="Y90">
        <v>0</v>
      </c>
      <c r="Z90">
        <v>12.31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117</v>
      </c>
      <c r="AG90">
        <v>0.6</v>
      </c>
      <c r="AH90">
        <v>2</v>
      </c>
      <c r="AI90">
        <v>55658785</v>
      </c>
      <c r="AJ90">
        <v>80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ROW(Source!A64)</f>
        <v>64</v>
      </c>
      <c r="B91">
        <v>55658808</v>
      </c>
      <c r="C91">
        <v>55658777</v>
      </c>
      <c r="D91">
        <v>53640954</v>
      </c>
      <c r="E91">
        <v>1</v>
      </c>
      <c r="F91">
        <v>1</v>
      </c>
      <c r="G91">
        <v>1</v>
      </c>
      <c r="H91">
        <v>3</v>
      </c>
      <c r="I91" t="s">
        <v>44</v>
      </c>
      <c r="J91" t="s">
        <v>47</v>
      </c>
      <c r="K91" t="s">
        <v>45</v>
      </c>
      <c r="L91">
        <v>1339</v>
      </c>
      <c r="N91">
        <v>1007</v>
      </c>
      <c r="O91" t="s">
        <v>46</v>
      </c>
      <c r="P91" t="s">
        <v>46</v>
      </c>
      <c r="Q91">
        <v>1</v>
      </c>
      <c r="X91">
        <v>1.95</v>
      </c>
      <c r="Y91">
        <v>6.22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1.95</v>
      </c>
      <c r="AH91">
        <v>2</v>
      </c>
      <c r="AI91">
        <v>55658786</v>
      </c>
      <c r="AJ91">
        <v>81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ROW(Source!A64)</f>
        <v>64</v>
      </c>
      <c r="B92">
        <v>55658809</v>
      </c>
      <c r="C92">
        <v>55658777</v>
      </c>
      <c r="D92">
        <v>53640960</v>
      </c>
      <c r="E92">
        <v>1</v>
      </c>
      <c r="F92">
        <v>1</v>
      </c>
      <c r="G92">
        <v>1</v>
      </c>
      <c r="H92">
        <v>3</v>
      </c>
      <c r="I92" t="s">
        <v>49</v>
      </c>
      <c r="J92" t="s">
        <v>52</v>
      </c>
      <c r="K92" t="s">
        <v>50</v>
      </c>
      <c r="L92">
        <v>1346</v>
      </c>
      <c r="N92">
        <v>1009</v>
      </c>
      <c r="O92" t="s">
        <v>51</v>
      </c>
      <c r="P92" t="s">
        <v>51</v>
      </c>
      <c r="Q92">
        <v>1</v>
      </c>
      <c r="X92">
        <v>0.59</v>
      </c>
      <c r="Y92">
        <v>6.09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0.59</v>
      </c>
      <c r="AH92">
        <v>2</v>
      </c>
      <c r="AI92">
        <v>55658787</v>
      </c>
      <c r="AJ92">
        <v>82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ROW(Source!A64)</f>
        <v>64</v>
      </c>
      <c r="B93">
        <v>55658810</v>
      </c>
      <c r="C93">
        <v>55658777</v>
      </c>
      <c r="D93">
        <v>53643640</v>
      </c>
      <c r="E93">
        <v>1</v>
      </c>
      <c r="F93">
        <v>1</v>
      </c>
      <c r="G93">
        <v>1</v>
      </c>
      <c r="H93">
        <v>3</v>
      </c>
      <c r="I93" t="s">
        <v>54</v>
      </c>
      <c r="J93" t="s">
        <v>56</v>
      </c>
      <c r="K93" t="s">
        <v>55</v>
      </c>
      <c r="L93">
        <v>1348</v>
      </c>
      <c r="N93">
        <v>1009</v>
      </c>
      <c r="O93" t="s">
        <v>41</v>
      </c>
      <c r="P93" t="s">
        <v>41</v>
      </c>
      <c r="Q93">
        <v>1000</v>
      </c>
      <c r="X93">
        <v>0.0031</v>
      </c>
      <c r="Y93">
        <v>10315.01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0.0031</v>
      </c>
      <c r="AH93">
        <v>2</v>
      </c>
      <c r="AI93">
        <v>55658788</v>
      </c>
      <c r="AJ93">
        <v>83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ROW(Source!A64)</f>
        <v>64</v>
      </c>
      <c r="B94">
        <v>55658811</v>
      </c>
      <c r="C94">
        <v>55658777</v>
      </c>
      <c r="D94">
        <v>53644840</v>
      </c>
      <c r="E94">
        <v>1</v>
      </c>
      <c r="F94">
        <v>1</v>
      </c>
      <c r="G94">
        <v>1</v>
      </c>
      <c r="H94">
        <v>3</v>
      </c>
      <c r="I94" t="s">
        <v>58</v>
      </c>
      <c r="J94" t="s">
        <v>60</v>
      </c>
      <c r="K94" t="s">
        <v>59</v>
      </c>
      <c r="L94">
        <v>1346</v>
      </c>
      <c r="N94">
        <v>1009</v>
      </c>
      <c r="O94" t="s">
        <v>51</v>
      </c>
      <c r="P94" t="s">
        <v>51</v>
      </c>
      <c r="Q94">
        <v>1</v>
      </c>
      <c r="X94">
        <v>3.1</v>
      </c>
      <c r="Y94">
        <v>9.04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3.1</v>
      </c>
      <c r="AH94">
        <v>2</v>
      </c>
      <c r="AI94">
        <v>55658789</v>
      </c>
      <c r="AJ94">
        <v>84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ROW(Source!A64)</f>
        <v>64</v>
      </c>
      <c r="B95">
        <v>55658812</v>
      </c>
      <c r="C95">
        <v>55658777</v>
      </c>
      <c r="D95">
        <v>53644939</v>
      </c>
      <c r="E95">
        <v>1</v>
      </c>
      <c r="F95">
        <v>1</v>
      </c>
      <c r="G95">
        <v>1</v>
      </c>
      <c r="H95">
        <v>3</v>
      </c>
      <c r="I95" t="s">
        <v>62</v>
      </c>
      <c r="J95" t="s">
        <v>64</v>
      </c>
      <c r="K95" t="s">
        <v>63</v>
      </c>
      <c r="L95">
        <v>1348</v>
      </c>
      <c r="N95">
        <v>1009</v>
      </c>
      <c r="O95" t="s">
        <v>41</v>
      </c>
      <c r="P95" t="s">
        <v>41</v>
      </c>
      <c r="Q95">
        <v>1000</v>
      </c>
      <c r="X95">
        <v>1E-05</v>
      </c>
      <c r="Y95">
        <v>11978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1E-05</v>
      </c>
      <c r="AH95">
        <v>2</v>
      </c>
      <c r="AI95">
        <v>55658790</v>
      </c>
      <c r="AJ95">
        <v>85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ROW(Source!A64)</f>
        <v>64</v>
      </c>
      <c r="B96">
        <v>55658813</v>
      </c>
      <c r="C96">
        <v>55658777</v>
      </c>
      <c r="D96">
        <v>53646035</v>
      </c>
      <c r="E96">
        <v>1</v>
      </c>
      <c r="F96">
        <v>1</v>
      </c>
      <c r="G96">
        <v>1</v>
      </c>
      <c r="H96">
        <v>3</v>
      </c>
      <c r="I96" t="s">
        <v>66</v>
      </c>
      <c r="J96" t="s">
        <v>68</v>
      </c>
      <c r="K96" t="s">
        <v>67</v>
      </c>
      <c r="L96">
        <v>1348</v>
      </c>
      <c r="N96">
        <v>1009</v>
      </c>
      <c r="O96" t="s">
        <v>41</v>
      </c>
      <c r="P96" t="s">
        <v>41</v>
      </c>
      <c r="Q96">
        <v>1000</v>
      </c>
      <c r="X96">
        <v>0.0001</v>
      </c>
      <c r="Y96">
        <v>37900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0.0001</v>
      </c>
      <c r="AH96">
        <v>2</v>
      </c>
      <c r="AI96">
        <v>55658791</v>
      </c>
      <c r="AJ96">
        <v>86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ROW(Source!A64)</f>
        <v>64</v>
      </c>
      <c r="B97">
        <v>55658814</v>
      </c>
      <c r="C97">
        <v>55658777</v>
      </c>
      <c r="D97">
        <v>53632028</v>
      </c>
      <c r="E97">
        <v>70</v>
      </c>
      <c r="F97">
        <v>1</v>
      </c>
      <c r="G97">
        <v>1</v>
      </c>
      <c r="H97">
        <v>3</v>
      </c>
      <c r="I97" t="s">
        <v>457</v>
      </c>
      <c r="K97" t="s">
        <v>458</v>
      </c>
      <c r="L97">
        <v>1348</v>
      </c>
      <c r="N97">
        <v>1009</v>
      </c>
      <c r="O97" t="s">
        <v>41</v>
      </c>
      <c r="P97" t="s">
        <v>41</v>
      </c>
      <c r="Q97">
        <v>1000</v>
      </c>
      <c r="X97">
        <v>1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G97">
        <v>1</v>
      </c>
      <c r="AH97">
        <v>3</v>
      </c>
      <c r="AI97">
        <v>-1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ROW(Source!A64)</f>
        <v>64</v>
      </c>
      <c r="B98">
        <v>55658815</v>
      </c>
      <c r="C98">
        <v>55658777</v>
      </c>
      <c r="D98">
        <v>53659617</v>
      </c>
      <c r="E98">
        <v>1</v>
      </c>
      <c r="F98">
        <v>1</v>
      </c>
      <c r="G98">
        <v>1</v>
      </c>
      <c r="H98">
        <v>3</v>
      </c>
      <c r="I98" t="s">
        <v>70</v>
      </c>
      <c r="J98" t="s">
        <v>72</v>
      </c>
      <c r="K98" t="s">
        <v>71</v>
      </c>
      <c r="L98">
        <v>1348</v>
      </c>
      <c r="N98">
        <v>1009</v>
      </c>
      <c r="O98" t="s">
        <v>41</v>
      </c>
      <c r="P98" t="s">
        <v>41</v>
      </c>
      <c r="Q98">
        <v>1000</v>
      </c>
      <c r="X98">
        <v>0.0005</v>
      </c>
      <c r="Y98">
        <v>7712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0.0005</v>
      </c>
      <c r="AH98">
        <v>2</v>
      </c>
      <c r="AI98">
        <v>55658793</v>
      </c>
      <c r="AJ98">
        <v>88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ROW(Source!A64)</f>
        <v>64</v>
      </c>
      <c r="B99">
        <v>55658816</v>
      </c>
      <c r="C99">
        <v>55658777</v>
      </c>
      <c r="D99">
        <v>53661716</v>
      </c>
      <c r="E99">
        <v>1</v>
      </c>
      <c r="F99">
        <v>1</v>
      </c>
      <c r="G99">
        <v>1</v>
      </c>
      <c r="H99">
        <v>3</v>
      </c>
      <c r="I99" t="s">
        <v>74</v>
      </c>
      <c r="J99" t="s">
        <v>77</v>
      </c>
      <c r="K99" t="s">
        <v>75</v>
      </c>
      <c r="L99">
        <v>1302</v>
      </c>
      <c r="N99">
        <v>1003</v>
      </c>
      <c r="O99" t="s">
        <v>76</v>
      </c>
      <c r="P99" t="s">
        <v>76</v>
      </c>
      <c r="Q99">
        <v>10</v>
      </c>
      <c r="X99">
        <v>0.0187</v>
      </c>
      <c r="Y99">
        <v>50.24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0.0187</v>
      </c>
      <c r="AH99">
        <v>2</v>
      </c>
      <c r="AI99">
        <v>55658794</v>
      </c>
      <c r="AJ99">
        <v>89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ROW(Source!A64)</f>
        <v>64</v>
      </c>
      <c r="B100">
        <v>55658817</v>
      </c>
      <c r="C100">
        <v>55658777</v>
      </c>
      <c r="D100">
        <v>53662071</v>
      </c>
      <c r="E100">
        <v>1</v>
      </c>
      <c r="F100">
        <v>1</v>
      </c>
      <c r="G100">
        <v>1</v>
      </c>
      <c r="H100">
        <v>3</v>
      </c>
      <c r="I100" t="s">
        <v>79</v>
      </c>
      <c r="J100" t="s">
        <v>81</v>
      </c>
      <c r="K100" t="s">
        <v>80</v>
      </c>
      <c r="L100">
        <v>1348</v>
      </c>
      <c r="N100">
        <v>1009</v>
      </c>
      <c r="O100" t="s">
        <v>41</v>
      </c>
      <c r="P100" t="s">
        <v>41</v>
      </c>
      <c r="Q100">
        <v>1000</v>
      </c>
      <c r="X100">
        <v>3E-05</v>
      </c>
      <c r="Y100">
        <v>4455.2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3E-05</v>
      </c>
      <c r="AH100">
        <v>2</v>
      </c>
      <c r="AI100">
        <v>55658795</v>
      </c>
      <c r="AJ100">
        <v>90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ROW(Source!A64)</f>
        <v>64</v>
      </c>
      <c r="B101">
        <v>55658818</v>
      </c>
      <c r="C101">
        <v>55658777</v>
      </c>
      <c r="D101">
        <v>53662794</v>
      </c>
      <c r="E101">
        <v>1</v>
      </c>
      <c r="F101">
        <v>1</v>
      </c>
      <c r="G101">
        <v>1</v>
      </c>
      <c r="H101">
        <v>3</v>
      </c>
      <c r="I101" t="s">
        <v>83</v>
      </c>
      <c r="J101" t="s">
        <v>85</v>
      </c>
      <c r="K101" t="s">
        <v>84</v>
      </c>
      <c r="L101">
        <v>1348</v>
      </c>
      <c r="N101">
        <v>1009</v>
      </c>
      <c r="O101" t="s">
        <v>41</v>
      </c>
      <c r="P101" t="s">
        <v>41</v>
      </c>
      <c r="Q101">
        <v>1000</v>
      </c>
      <c r="X101">
        <v>0.00194</v>
      </c>
      <c r="Y101">
        <v>4920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0.00194</v>
      </c>
      <c r="AH101">
        <v>2</v>
      </c>
      <c r="AI101">
        <v>55658796</v>
      </c>
      <c r="AJ101">
        <v>91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ROW(Source!A64)</f>
        <v>64</v>
      </c>
      <c r="B102">
        <v>55658819</v>
      </c>
      <c r="C102">
        <v>55658777</v>
      </c>
      <c r="D102">
        <v>53666055</v>
      </c>
      <c r="E102">
        <v>1</v>
      </c>
      <c r="F102">
        <v>1</v>
      </c>
      <c r="G102">
        <v>1</v>
      </c>
      <c r="H102">
        <v>3</v>
      </c>
      <c r="I102" t="s">
        <v>87</v>
      </c>
      <c r="J102" t="s">
        <v>89</v>
      </c>
      <c r="K102" t="s">
        <v>88</v>
      </c>
      <c r="L102">
        <v>1339</v>
      </c>
      <c r="N102">
        <v>1007</v>
      </c>
      <c r="O102" t="s">
        <v>46</v>
      </c>
      <c r="P102" t="s">
        <v>46</v>
      </c>
      <c r="Q102">
        <v>1</v>
      </c>
      <c r="X102">
        <v>0.00103</v>
      </c>
      <c r="Y102">
        <v>1700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0.00103</v>
      </c>
      <c r="AH102">
        <v>2</v>
      </c>
      <c r="AI102">
        <v>55658797</v>
      </c>
      <c r="AJ102">
        <v>92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ROW(Source!A64)</f>
        <v>64</v>
      </c>
      <c r="B103">
        <v>55658820</v>
      </c>
      <c r="C103">
        <v>55658777</v>
      </c>
      <c r="D103">
        <v>53673673</v>
      </c>
      <c r="E103">
        <v>1</v>
      </c>
      <c r="F103">
        <v>1</v>
      </c>
      <c r="G103">
        <v>1</v>
      </c>
      <c r="H103">
        <v>3</v>
      </c>
      <c r="I103" t="s">
        <v>91</v>
      </c>
      <c r="J103" t="s">
        <v>93</v>
      </c>
      <c r="K103" t="s">
        <v>92</v>
      </c>
      <c r="L103">
        <v>1348</v>
      </c>
      <c r="N103">
        <v>1009</v>
      </c>
      <c r="O103" t="s">
        <v>41</v>
      </c>
      <c r="P103" t="s">
        <v>41</v>
      </c>
      <c r="Q103">
        <v>1000</v>
      </c>
      <c r="X103">
        <v>0.00031</v>
      </c>
      <c r="Y103">
        <v>15620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0.00031</v>
      </c>
      <c r="AH103">
        <v>2</v>
      </c>
      <c r="AI103">
        <v>55658798</v>
      </c>
      <c r="AJ103">
        <v>93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ROW(Source!A64)</f>
        <v>64</v>
      </c>
      <c r="B104">
        <v>55658821</v>
      </c>
      <c r="C104">
        <v>55658777</v>
      </c>
      <c r="D104">
        <v>53674786</v>
      </c>
      <c r="E104">
        <v>1</v>
      </c>
      <c r="F104">
        <v>1</v>
      </c>
      <c r="G104">
        <v>1</v>
      </c>
      <c r="H104">
        <v>3</v>
      </c>
      <c r="I104" t="s">
        <v>95</v>
      </c>
      <c r="J104" t="s">
        <v>97</v>
      </c>
      <c r="K104" t="s">
        <v>96</v>
      </c>
      <c r="L104">
        <v>1346</v>
      </c>
      <c r="N104">
        <v>1009</v>
      </c>
      <c r="O104" t="s">
        <v>51</v>
      </c>
      <c r="P104" t="s">
        <v>51</v>
      </c>
      <c r="Q104">
        <v>1</v>
      </c>
      <c r="X104">
        <v>0.6</v>
      </c>
      <c r="Y104">
        <v>9.42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0.6</v>
      </c>
      <c r="AH104">
        <v>2</v>
      </c>
      <c r="AI104">
        <v>55658799</v>
      </c>
      <c r="AJ104">
        <v>94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ROW(Source!A65)</f>
        <v>65</v>
      </c>
      <c r="B105">
        <v>55658800</v>
      </c>
      <c r="C105">
        <v>55658777</v>
      </c>
      <c r="D105">
        <v>37822923</v>
      </c>
      <c r="E105">
        <v>70</v>
      </c>
      <c r="F105">
        <v>1</v>
      </c>
      <c r="G105">
        <v>1</v>
      </c>
      <c r="H105">
        <v>1</v>
      </c>
      <c r="I105" t="s">
        <v>371</v>
      </c>
      <c r="K105" t="s">
        <v>372</v>
      </c>
      <c r="L105">
        <v>1191</v>
      </c>
      <c r="N105">
        <v>1013</v>
      </c>
      <c r="O105" t="s">
        <v>358</v>
      </c>
      <c r="P105" t="s">
        <v>358</v>
      </c>
      <c r="Q105">
        <v>1</v>
      </c>
      <c r="X105">
        <v>15.6</v>
      </c>
      <c r="Y105">
        <v>0</v>
      </c>
      <c r="Z105">
        <v>0</v>
      </c>
      <c r="AA105">
        <v>0</v>
      </c>
      <c r="AB105">
        <v>10.21</v>
      </c>
      <c r="AC105">
        <v>0</v>
      </c>
      <c r="AD105">
        <v>1</v>
      </c>
      <c r="AE105">
        <v>1</v>
      </c>
      <c r="AF105" t="s">
        <v>118</v>
      </c>
      <c r="AG105">
        <v>17.939999999999998</v>
      </c>
      <c r="AH105">
        <v>2</v>
      </c>
      <c r="AI105">
        <v>55658778</v>
      </c>
      <c r="AJ105">
        <v>95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ROW(Source!A65)</f>
        <v>65</v>
      </c>
      <c r="B106">
        <v>55658801</v>
      </c>
      <c r="C106">
        <v>55658777</v>
      </c>
      <c r="D106">
        <v>37822850</v>
      </c>
      <c r="E106">
        <v>70</v>
      </c>
      <c r="F106">
        <v>1</v>
      </c>
      <c r="G106">
        <v>1</v>
      </c>
      <c r="H106">
        <v>1</v>
      </c>
      <c r="I106" t="s">
        <v>359</v>
      </c>
      <c r="K106" t="s">
        <v>360</v>
      </c>
      <c r="L106">
        <v>1191</v>
      </c>
      <c r="N106">
        <v>1013</v>
      </c>
      <c r="O106" t="s">
        <v>358</v>
      </c>
      <c r="P106" t="s">
        <v>358</v>
      </c>
      <c r="Q106">
        <v>1</v>
      </c>
      <c r="X106">
        <v>2.88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117</v>
      </c>
      <c r="AG106">
        <v>3.5999999999999996</v>
      </c>
      <c r="AH106">
        <v>2</v>
      </c>
      <c r="AI106">
        <v>55658779</v>
      </c>
      <c r="AJ106">
        <v>96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ROW(Source!A65)</f>
        <v>65</v>
      </c>
      <c r="B107">
        <v>55658802</v>
      </c>
      <c r="C107">
        <v>55658777</v>
      </c>
      <c r="D107">
        <v>53791943</v>
      </c>
      <c r="E107">
        <v>1</v>
      </c>
      <c r="F107">
        <v>1</v>
      </c>
      <c r="G107">
        <v>1</v>
      </c>
      <c r="H107">
        <v>2</v>
      </c>
      <c r="I107" t="s">
        <v>373</v>
      </c>
      <c r="J107" t="s">
        <v>374</v>
      </c>
      <c r="K107" t="s">
        <v>375</v>
      </c>
      <c r="L107">
        <v>1367</v>
      </c>
      <c r="N107">
        <v>1011</v>
      </c>
      <c r="O107" t="s">
        <v>364</v>
      </c>
      <c r="P107" t="s">
        <v>364</v>
      </c>
      <c r="Q107">
        <v>1</v>
      </c>
      <c r="X107">
        <v>0.68</v>
      </c>
      <c r="Y107">
        <v>0</v>
      </c>
      <c r="Z107">
        <v>312.21</v>
      </c>
      <c r="AA107">
        <v>15.42</v>
      </c>
      <c r="AB107">
        <v>0</v>
      </c>
      <c r="AC107">
        <v>0</v>
      </c>
      <c r="AD107">
        <v>1</v>
      </c>
      <c r="AE107">
        <v>0</v>
      </c>
      <c r="AF107" t="s">
        <v>117</v>
      </c>
      <c r="AG107">
        <v>0.8500000000000001</v>
      </c>
      <c r="AH107">
        <v>2</v>
      </c>
      <c r="AI107">
        <v>55658780</v>
      </c>
      <c r="AJ107">
        <v>97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ROW(Source!A65)</f>
        <v>65</v>
      </c>
      <c r="B108">
        <v>55658803</v>
      </c>
      <c r="C108">
        <v>55658777</v>
      </c>
      <c r="D108">
        <v>53791952</v>
      </c>
      <c r="E108">
        <v>1</v>
      </c>
      <c r="F108">
        <v>1</v>
      </c>
      <c r="G108">
        <v>1</v>
      </c>
      <c r="H108">
        <v>2</v>
      </c>
      <c r="I108" t="s">
        <v>376</v>
      </c>
      <c r="J108" t="s">
        <v>377</v>
      </c>
      <c r="K108" t="s">
        <v>378</v>
      </c>
      <c r="L108">
        <v>1367</v>
      </c>
      <c r="N108">
        <v>1011</v>
      </c>
      <c r="O108" t="s">
        <v>364</v>
      </c>
      <c r="P108" t="s">
        <v>364</v>
      </c>
      <c r="Q108">
        <v>1</v>
      </c>
      <c r="X108">
        <v>1.68</v>
      </c>
      <c r="Y108">
        <v>0</v>
      </c>
      <c r="Z108">
        <v>120.24</v>
      </c>
      <c r="AA108">
        <v>15.42</v>
      </c>
      <c r="AB108">
        <v>0</v>
      </c>
      <c r="AC108">
        <v>0</v>
      </c>
      <c r="AD108">
        <v>1</v>
      </c>
      <c r="AE108">
        <v>0</v>
      </c>
      <c r="AF108" t="s">
        <v>117</v>
      </c>
      <c r="AG108">
        <v>2.1</v>
      </c>
      <c r="AH108">
        <v>2</v>
      </c>
      <c r="AI108">
        <v>55658781</v>
      </c>
      <c r="AJ108">
        <v>98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ROW(Source!A65)</f>
        <v>65</v>
      </c>
      <c r="B109">
        <v>55658804</v>
      </c>
      <c r="C109">
        <v>55658777</v>
      </c>
      <c r="D109">
        <v>53791997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1367</v>
      </c>
      <c r="N109">
        <v>1011</v>
      </c>
      <c r="O109" t="s">
        <v>364</v>
      </c>
      <c r="P109" t="s">
        <v>364</v>
      </c>
      <c r="Q109">
        <v>1</v>
      </c>
      <c r="X109">
        <v>0.21</v>
      </c>
      <c r="Y109">
        <v>0</v>
      </c>
      <c r="Z109">
        <v>115.4</v>
      </c>
      <c r="AA109">
        <v>13.5</v>
      </c>
      <c r="AB109">
        <v>0</v>
      </c>
      <c r="AC109">
        <v>0</v>
      </c>
      <c r="AD109">
        <v>1</v>
      </c>
      <c r="AE109">
        <v>0</v>
      </c>
      <c r="AF109" t="s">
        <v>117</v>
      </c>
      <c r="AG109">
        <v>0.2625</v>
      </c>
      <c r="AH109">
        <v>2</v>
      </c>
      <c r="AI109">
        <v>55658782</v>
      </c>
      <c r="AJ109">
        <v>99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ROW(Source!A65)</f>
        <v>65</v>
      </c>
      <c r="B110">
        <v>55658805</v>
      </c>
      <c r="C110">
        <v>55658777</v>
      </c>
      <c r="D110">
        <v>53792927</v>
      </c>
      <c r="E110">
        <v>1</v>
      </c>
      <c r="F110">
        <v>1</v>
      </c>
      <c r="G110">
        <v>1</v>
      </c>
      <c r="H110">
        <v>2</v>
      </c>
      <c r="I110" t="s">
        <v>368</v>
      </c>
      <c r="J110" t="s">
        <v>369</v>
      </c>
      <c r="K110" t="s">
        <v>370</v>
      </c>
      <c r="L110">
        <v>1367</v>
      </c>
      <c r="N110">
        <v>1011</v>
      </c>
      <c r="O110" t="s">
        <v>364</v>
      </c>
      <c r="P110" t="s">
        <v>364</v>
      </c>
      <c r="Q110">
        <v>1</v>
      </c>
      <c r="X110">
        <v>0.31</v>
      </c>
      <c r="Y110">
        <v>0</v>
      </c>
      <c r="Z110">
        <v>65.71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117</v>
      </c>
      <c r="AG110">
        <v>0.3875</v>
      </c>
      <c r="AH110">
        <v>2</v>
      </c>
      <c r="AI110">
        <v>55658783</v>
      </c>
      <c r="AJ110">
        <v>100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ROW(Source!A65)</f>
        <v>65</v>
      </c>
      <c r="B111">
        <v>55658806</v>
      </c>
      <c r="C111">
        <v>55658777</v>
      </c>
      <c r="D111">
        <v>53793082</v>
      </c>
      <c r="E111">
        <v>1</v>
      </c>
      <c r="F111">
        <v>1</v>
      </c>
      <c r="G111">
        <v>1</v>
      </c>
      <c r="H111">
        <v>2</v>
      </c>
      <c r="I111" t="s">
        <v>379</v>
      </c>
      <c r="J111" t="s">
        <v>380</v>
      </c>
      <c r="K111" t="s">
        <v>381</v>
      </c>
      <c r="L111">
        <v>1367</v>
      </c>
      <c r="N111">
        <v>1011</v>
      </c>
      <c r="O111" t="s">
        <v>364</v>
      </c>
      <c r="P111" t="s">
        <v>364</v>
      </c>
      <c r="Q111">
        <v>1</v>
      </c>
      <c r="X111">
        <v>2.38</v>
      </c>
      <c r="Y111">
        <v>0</v>
      </c>
      <c r="Z111">
        <v>1.2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117</v>
      </c>
      <c r="AG111">
        <v>2.9749999999999996</v>
      </c>
      <c r="AH111">
        <v>2</v>
      </c>
      <c r="AI111">
        <v>55658784</v>
      </c>
      <c r="AJ111">
        <v>101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ROW(Source!A65)</f>
        <v>65</v>
      </c>
      <c r="B112">
        <v>55658807</v>
      </c>
      <c r="C112">
        <v>55658777</v>
      </c>
      <c r="D112">
        <v>53793125</v>
      </c>
      <c r="E112">
        <v>1</v>
      </c>
      <c r="F112">
        <v>1</v>
      </c>
      <c r="G112">
        <v>1</v>
      </c>
      <c r="H112">
        <v>2</v>
      </c>
      <c r="I112" t="s">
        <v>382</v>
      </c>
      <c r="J112" t="s">
        <v>383</v>
      </c>
      <c r="K112" t="s">
        <v>384</v>
      </c>
      <c r="L112">
        <v>1367</v>
      </c>
      <c r="N112">
        <v>1011</v>
      </c>
      <c r="O112" t="s">
        <v>364</v>
      </c>
      <c r="P112" t="s">
        <v>364</v>
      </c>
      <c r="Q112">
        <v>1</v>
      </c>
      <c r="X112">
        <v>0.48</v>
      </c>
      <c r="Y112">
        <v>0</v>
      </c>
      <c r="Z112">
        <v>12.31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117</v>
      </c>
      <c r="AG112">
        <v>0.6</v>
      </c>
      <c r="AH112">
        <v>2</v>
      </c>
      <c r="AI112">
        <v>55658785</v>
      </c>
      <c r="AJ112">
        <v>102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ROW(Source!A65)</f>
        <v>65</v>
      </c>
      <c r="B113">
        <v>55658808</v>
      </c>
      <c r="C113">
        <v>55658777</v>
      </c>
      <c r="D113">
        <v>53640954</v>
      </c>
      <c r="E113">
        <v>1</v>
      </c>
      <c r="F113">
        <v>1</v>
      </c>
      <c r="G113">
        <v>1</v>
      </c>
      <c r="H113">
        <v>3</v>
      </c>
      <c r="I113" t="s">
        <v>44</v>
      </c>
      <c r="J113" t="s">
        <v>47</v>
      </c>
      <c r="K113" t="s">
        <v>45</v>
      </c>
      <c r="L113">
        <v>1339</v>
      </c>
      <c r="N113">
        <v>1007</v>
      </c>
      <c r="O113" t="s">
        <v>46</v>
      </c>
      <c r="P113" t="s">
        <v>46</v>
      </c>
      <c r="Q113">
        <v>1</v>
      </c>
      <c r="X113">
        <v>1.95</v>
      </c>
      <c r="Y113">
        <v>6.22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1.95</v>
      </c>
      <c r="AH113">
        <v>2</v>
      </c>
      <c r="AI113">
        <v>55658786</v>
      </c>
      <c r="AJ113">
        <v>103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ROW(Source!A65)</f>
        <v>65</v>
      </c>
      <c r="B114">
        <v>55658809</v>
      </c>
      <c r="C114">
        <v>55658777</v>
      </c>
      <c r="D114">
        <v>53640960</v>
      </c>
      <c r="E114">
        <v>1</v>
      </c>
      <c r="F114">
        <v>1</v>
      </c>
      <c r="G114">
        <v>1</v>
      </c>
      <c r="H114">
        <v>3</v>
      </c>
      <c r="I114" t="s">
        <v>49</v>
      </c>
      <c r="J114" t="s">
        <v>52</v>
      </c>
      <c r="K114" t="s">
        <v>50</v>
      </c>
      <c r="L114">
        <v>1346</v>
      </c>
      <c r="N114">
        <v>1009</v>
      </c>
      <c r="O114" t="s">
        <v>51</v>
      </c>
      <c r="P114" t="s">
        <v>51</v>
      </c>
      <c r="Q114">
        <v>1</v>
      </c>
      <c r="X114">
        <v>0.59</v>
      </c>
      <c r="Y114">
        <v>6.09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0.59</v>
      </c>
      <c r="AH114">
        <v>2</v>
      </c>
      <c r="AI114">
        <v>55658787</v>
      </c>
      <c r="AJ114">
        <v>104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ROW(Source!A65)</f>
        <v>65</v>
      </c>
      <c r="B115">
        <v>55658810</v>
      </c>
      <c r="C115">
        <v>55658777</v>
      </c>
      <c r="D115">
        <v>53643640</v>
      </c>
      <c r="E115">
        <v>1</v>
      </c>
      <c r="F115">
        <v>1</v>
      </c>
      <c r="G115">
        <v>1</v>
      </c>
      <c r="H115">
        <v>3</v>
      </c>
      <c r="I115" t="s">
        <v>54</v>
      </c>
      <c r="J115" t="s">
        <v>56</v>
      </c>
      <c r="K115" t="s">
        <v>55</v>
      </c>
      <c r="L115">
        <v>1348</v>
      </c>
      <c r="N115">
        <v>1009</v>
      </c>
      <c r="O115" t="s">
        <v>41</v>
      </c>
      <c r="P115" t="s">
        <v>41</v>
      </c>
      <c r="Q115">
        <v>1000</v>
      </c>
      <c r="X115">
        <v>0.0031</v>
      </c>
      <c r="Y115">
        <v>10315.01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0.0031</v>
      </c>
      <c r="AH115">
        <v>2</v>
      </c>
      <c r="AI115">
        <v>55658788</v>
      </c>
      <c r="AJ115">
        <v>105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ROW(Source!A65)</f>
        <v>65</v>
      </c>
      <c r="B116">
        <v>55658811</v>
      </c>
      <c r="C116">
        <v>55658777</v>
      </c>
      <c r="D116">
        <v>53644840</v>
      </c>
      <c r="E116">
        <v>1</v>
      </c>
      <c r="F116">
        <v>1</v>
      </c>
      <c r="G116">
        <v>1</v>
      </c>
      <c r="H116">
        <v>3</v>
      </c>
      <c r="I116" t="s">
        <v>58</v>
      </c>
      <c r="J116" t="s">
        <v>60</v>
      </c>
      <c r="K116" t="s">
        <v>59</v>
      </c>
      <c r="L116">
        <v>1346</v>
      </c>
      <c r="N116">
        <v>1009</v>
      </c>
      <c r="O116" t="s">
        <v>51</v>
      </c>
      <c r="P116" t="s">
        <v>51</v>
      </c>
      <c r="Q116">
        <v>1</v>
      </c>
      <c r="X116">
        <v>3.1</v>
      </c>
      <c r="Y116">
        <v>9.04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3.1</v>
      </c>
      <c r="AH116">
        <v>2</v>
      </c>
      <c r="AI116">
        <v>55658789</v>
      </c>
      <c r="AJ116">
        <v>106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ROW(Source!A65)</f>
        <v>65</v>
      </c>
      <c r="B117">
        <v>55658812</v>
      </c>
      <c r="C117">
        <v>55658777</v>
      </c>
      <c r="D117">
        <v>53644939</v>
      </c>
      <c r="E117">
        <v>1</v>
      </c>
      <c r="F117">
        <v>1</v>
      </c>
      <c r="G117">
        <v>1</v>
      </c>
      <c r="H117">
        <v>3</v>
      </c>
      <c r="I117" t="s">
        <v>62</v>
      </c>
      <c r="J117" t="s">
        <v>64</v>
      </c>
      <c r="K117" t="s">
        <v>63</v>
      </c>
      <c r="L117">
        <v>1348</v>
      </c>
      <c r="N117">
        <v>1009</v>
      </c>
      <c r="O117" t="s">
        <v>41</v>
      </c>
      <c r="P117" t="s">
        <v>41</v>
      </c>
      <c r="Q117">
        <v>1000</v>
      </c>
      <c r="X117">
        <v>1E-05</v>
      </c>
      <c r="Y117">
        <v>11978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1E-05</v>
      </c>
      <c r="AH117">
        <v>2</v>
      </c>
      <c r="AI117">
        <v>55658790</v>
      </c>
      <c r="AJ117">
        <v>107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ROW(Source!A65)</f>
        <v>65</v>
      </c>
      <c r="B118">
        <v>55658813</v>
      </c>
      <c r="C118">
        <v>55658777</v>
      </c>
      <c r="D118">
        <v>53646035</v>
      </c>
      <c r="E118">
        <v>1</v>
      </c>
      <c r="F118">
        <v>1</v>
      </c>
      <c r="G118">
        <v>1</v>
      </c>
      <c r="H118">
        <v>3</v>
      </c>
      <c r="I118" t="s">
        <v>66</v>
      </c>
      <c r="J118" t="s">
        <v>68</v>
      </c>
      <c r="K118" t="s">
        <v>67</v>
      </c>
      <c r="L118">
        <v>1348</v>
      </c>
      <c r="N118">
        <v>1009</v>
      </c>
      <c r="O118" t="s">
        <v>41</v>
      </c>
      <c r="P118" t="s">
        <v>41</v>
      </c>
      <c r="Q118">
        <v>1000</v>
      </c>
      <c r="X118">
        <v>0.0001</v>
      </c>
      <c r="Y118">
        <v>37900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0.0001</v>
      </c>
      <c r="AH118">
        <v>2</v>
      </c>
      <c r="AI118">
        <v>55658791</v>
      </c>
      <c r="AJ118">
        <v>108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ROW(Source!A65)</f>
        <v>65</v>
      </c>
      <c r="B119">
        <v>55658814</v>
      </c>
      <c r="C119">
        <v>55658777</v>
      </c>
      <c r="D119">
        <v>53632028</v>
      </c>
      <c r="E119">
        <v>70</v>
      </c>
      <c r="F119">
        <v>1</v>
      </c>
      <c r="G119">
        <v>1</v>
      </c>
      <c r="H119">
        <v>3</v>
      </c>
      <c r="I119" t="s">
        <v>457</v>
      </c>
      <c r="K119" t="s">
        <v>458</v>
      </c>
      <c r="L119">
        <v>1348</v>
      </c>
      <c r="N119">
        <v>1009</v>
      </c>
      <c r="O119" t="s">
        <v>41</v>
      </c>
      <c r="P119" t="s">
        <v>41</v>
      </c>
      <c r="Q119">
        <v>1000</v>
      </c>
      <c r="X119">
        <v>1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G119">
        <v>1</v>
      </c>
      <c r="AH119">
        <v>3</v>
      </c>
      <c r="AI119">
        <v>-1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ROW(Source!A65)</f>
        <v>65</v>
      </c>
      <c r="B120">
        <v>55658815</v>
      </c>
      <c r="C120">
        <v>55658777</v>
      </c>
      <c r="D120">
        <v>53659617</v>
      </c>
      <c r="E120">
        <v>1</v>
      </c>
      <c r="F120">
        <v>1</v>
      </c>
      <c r="G120">
        <v>1</v>
      </c>
      <c r="H120">
        <v>3</v>
      </c>
      <c r="I120" t="s">
        <v>70</v>
      </c>
      <c r="J120" t="s">
        <v>72</v>
      </c>
      <c r="K120" t="s">
        <v>71</v>
      </c>
      <c r="L120">
        <v>1348</v>
      </c>
      <c r="N120">
        <v>1009</v>
      </c>
      <c r="O120" t="s">
        <v>41</v>
      </c>
      <c r="P120" t="s">
        <v>41</v>
      </c>
      <c r="Q120">
        <v>1000</v>
      </c>
      <c r="X120">
        <v>0.0005</v>
      </c>
      <c r="Y120">
        <v>7712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0.0005</v>
      </c>
      <c r="AH120">
        <v>2</v>
      </c>
      <c r="AI120">
        <v>55658793</v>
      </c>
      <c r="AJ120">
        <v>110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ROW(Source!A65)</f>
        <v>65</v>
      </c>
      <c r="B121">
        <v>55658816</v>
      </c>
      <c r="C121">
        <v>55658777</v>
      </c>
      <c r="D121">
        <v>53661716</v>
      </c>
      <c r="E121">
        <v>1</v>
      </c>
      <c r="F121">
        <v>1</v>
      </c>
      <c r="G121">
        <v>1</v>
      </c>
      <c r="H121">
        <v>3</v>
      </c>
      <c r="I121" t="s">
        <v>74</v>
      </c>
      <c r="J121" t="s">
        <v>77</v>
      </c>
      <c r="K121" t="s">
        <v>75</v>
      </c>
      <c r="L121">
        <v>1302</v>
      </c>
      <c r="N121">
        <v>1003</v>
      </c>
      <c r="O121" t="s">
        <v>76</v>
      </c>
      <c r="P121" t="s">
        <v>76</v>
      </c>
      <c r="Q121">
        <v>10</v>
      </c>
      <c r="X121">
        <v>0.0187</v>
      </c>
      <c r="Y121">
        <v>50.24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0.0187</v>
      </c>
      <c r="AH121">
        <v>2</v>
      </c>
      <c r="AI121">
        <v>55658794</v>
      </c>
      <c r="AJ121">
        <v>111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ROW(Source!A65)</f>
        <v>65</v>
      </c>
      <c r="B122">
        <v>55658817</v>
      </c>
      <c r="C122">
        <v>55658777</v>
      </c>
      <c r="D122">
        <v>53662071</v>
      </c>
      <c r="E122">
        <v>1</v>
      </c>
      <c r="F122">
        <v>1</v>
      </c>
      <c r="G122">
        <v>1</v>
      </c>
      <c r="H122">
        <v>3</v>
      </c>
      <c r="I122" t="s">
        <v>79</v>
      </c>
      <c r="J122" t="s">
        <v>81</v>
      </c>
      <c r="K122" t="s">
        <v>80</v>
      </c>
      <c r="L122">
        <v>1348</v>
      </c>
      <c r="N122">
        <v>1009</v>
      </c>
      <c r="O122" t="s">
        <v>41</v>
      </c>
      <c r="P122" t="s">
        <v>41</v>
      </c>
      <c r="Q122">
        <v>1000</v>
      </c>
      <c r="X122">
        <v>3E-05</v>
      </c>
      <c r="Y122">
        <v>4455.2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3E-05</v>
      </c>
      <c r="AH122">
        <v>2</v>
      </c>
      <c r="AI122">
        <v>55658795</v>
      </c>
      <c r="AJ122">
        <v>112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ROW(Source!A65)</f>
        <v>65</v>
      </c>
      <c r="B123">
        <v>55658818</v>
      </c>
      <c r="C123">
        <v>55658777</v>
      </c>
      <c r="D123">
        <v>53662794</v>
      </c>
      <c r="E123">
        <v>1</v>
      </c>
      <c r="F123">
        <v>1</v>
      </c>
      <c r="G123">
        <v>1</v>
      </c>
      <c r="H123">
        <v>3</v>
      </c>
      <c r="I123" t="s">
        <v>83</v>
      </c>
      <c r="J123" t="s">
        <v>85</v>
      </c>
      <c r="K123" t="s">
        <v>84</v>
      </c>
      <c r="L123">
        <v>1348</v>
      </c>
      <c r="N123">
        <v>1009</v>
      </c>
      <c r="O123" t="s">
        <v>41</v>
      </c>
      <c r="P123" t="s">
        <v>41</v>
      </c>
      <c r="Q123">
        <v>1000</v>
      </c>
      <c r="X123">
        <v>0.00194</v>
      </c>
      <c r="Y123">
        <v>4920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0.00194</v>
      </c>
      <c r="AH123">
        <v>2</v>
      </c>
      <c r="AI123">
        <v>55658796</v>
      </c>
      <c r="AJ123">
        <v>113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ROW(Source!A65)</f>
        <v>65</v>
      </c>
      <c r="B124">
        <v>55658819</v>
      </c>
      <c r="C124">
        <v>55658777</v>
      </c>
      <c r="D124">
        <v>53666055</v>
      </c>
      <c r="E124">
        <v>1</v>
      </c>
      <c r="F124">
        <v>1</v>
      </c>
      <c r="G124">
        <v>1</v>
      </c>
      <c r="H124">
        <v>3</v>
      </c>
      <c r="I124" t="s">
        <v>87</v>
      </c>
      <c r="J124" t="s">
        <v>89</v>
      </c>
      <c r="K124" t="s">
        <v>88</v>
      </c>
      <c r="L124">
        <v>1339</v>
      </c>
      <c r="N124">
        <v>1007</v>
      </c>
      <c r="O124" t="s">
        <v>46</v>
      </c>
      <c r="P124" t="s">
        <v>46</v>
      </c>
      <c r="Q124">
        <v>1</v>
      </c>
      <c r="X124">
        <v>0.00103</v>
      </c>
      <c r="Y124">
        <v>1700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0.00103</v>
      </c>
      <c r="AH124">
        <v>2</v>
      </c>
      <c r="AI124">
        <v>55658797</v>
      </c>
      <c r="AJ124">
        <v>114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ROW(Source!A65)</f>
        <v>65</v>
      </c>
      <c r="B125">
        <v>55658820</v>
      </c>
      <c r="C125">
        <v>55658777</v>
      </c>
      <c r="D125">
        <v>53673673</v>
      </c>
      <c r="E125">
        <v>1</v>
      </c>
      <c r="F125">
        <v>1</v>
      </c>
      <c r="G125">
        <v>1</v>
      </c>
      <c r="H125">
        <v>3</v>
      </c>
      <c r="I125" t="s">
        <v>91</v>
      </c>
      <c r="J125" t="s">
        <v>93</v>
      </c>
      <c r="K125" t="s">
        <v>92</v>
      </c>
      <c r="L125">
        <v>1348</v>
      </c>
      <c r="N125">
        <v>1009</v>
      </c>
      <c r="O125" t="s">
        <v>41</v>
      </c>
      <c r="P125" t="s">
        <v>41</v>
      </c>
      <c r="Q125">
        <v>1000</v>
      </c>
      <c r="X125">
        <v>0.00031</v>
      </c>
      <c r="Y125">
        <v>15620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0.00031</v>
      </c>
      <c r="AH125">
        <v>2</v>
      </c>
      <c r="AI125">
        <v>55658798</v>
      </c>
      <c r="AJ125">
        <v>115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ROW(Source!A65)</f>
        <v>65</v>
      </c>
      <c r="B126">
        <v>55658821</v>
      </c>
      <c r="C126">
        <v>55658777</v>
      </c>
      <c r="D126">
        <v>53674786</v>
      </c>
      <c r="E126">
        <v>1</v>
      </c>
      <c r="F126">
        <v>1</v>
      </c>
      <c r="G126">
        <v>1</v>
      </c>
      <c r="H126">
        <v>3</v>
      </c>
      <c r="I126" t="s">
        <v>95</v>
      </c>
      <c r="J126" t="s">
        <v>97</v>
      </c>
      <c r="K126" t="s">
        <v>96</v>
      </c>
      <c r="L126">
        <v>1346</v>
      </c>
      <c r="N126">
        <v>1009</v>
      </c>
      <c r="O126" t="s">
        <v>51</v>
      </c>
      <c r="P126" t="s">
        <v>51</v>
      </c>
      <c r="Q126">
        <v>1</v>
      </c>
      <c r="X126">
        <v>0.6</v>
      </c>
      <c r="Y126">
        <v>9.42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0.6</v>
      </c>
      <c r="AH126">
        <v>2</v>
      </c>
      <c r="AI126">
        <v>55658799</v>
      </c>
      <c r="AJ126">
        <v>116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ROW(Source!A68)</f>
        <v>68</v>
      </c>
      <c r="B127">
        <v>55658740</v>
      </c>
      <c r="C127">
        <v>55658739</v>
      </c>
      <c r="D127">
        <v>53630109</v>
      </c>
      <c r="E127">
        <v>70</v>
      </c>
      <c r="F127">
        <v>1</v>
      </c>
      <c r="G127">
        <v>1</v>
      </c>
      <c r="H127">
        <v>1</v>
      </c>
      <c r="I127" t="s">
        <v>387</v>
      </c>
      <c r="K127" t="s">
        <v>388</v>
      </c>
      <c r="L127">
        <v>1191</v>
      </c>
      <c r="N127">
        <v>1013</v>
      </c>
      <c r="O127" t="s">
        <v>358</v>
      </c>
      <c r="P127" t="s">
        <v>358</v>
      </c>
      <c r="Q127">
        <v>1</v>
      </c>
      <c r="X127">
        <v>17.3</v>
      </c>
      <c r="Y127">
        <v>0</v>
      </c>
      <c r="Z127">
        <v>0</v>
      </c>
      <c r="AA127">
        <v>0</v>
      </c>
      <c r="AB127">
        <v>9.62</v>
      </c>
      <c r="AC127">
        <v>0</v>
      </c>
      <c r="AD127">
        <v>1</v>
      </c>
      <c r="AE127">
        <v>1</v>
      </c>
      <c r="AG127">
        <v>17.3</v>
      </c>
      <c r="AH127">
        <v>2</v>
      </c>
      <c r="AI127">
        <v>55658740</v>
      </c>
      <c r="AJ127">
        <v>117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ROW(Source!A68)</f>
        <v>68</v>
      </c>
      <c r="B128">
        <v>55658741</v>
      </c>
      <c r="C128">
        <v>55658739</v>
      </c>
      <c r="D128">
        <v>53630257</v>
      </c>
      <c r="E128">
        <v>70</v>
      </c>
      <c r="F128">
        <v>1</v>
      </c>
      <c r="G128">
        <v>1</v>
      </c>
      <c r="H128">
        <v>1</v>
      </c>
      <c r="I128" t="s">
        <v>359</v>
      </c>
      <c r="K128" t="s">
        <v>360</v>
      </c>
      <c r="L128">
        <v>1191</v>
      </c>
      <c r="N128">
        <v>1013</v>
      </c>
      <c r="O128" t="s">
        <v>358</v>
      </c>
      <c r="P128" t="s">
        <v>358</v>
      </c>
      <c r="Q128">
        <v>1</v>
      </c>
      <c r="X128">
        <v>18.2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G128">
        <v>18.2</v>
      </c>
      <c r="AH128">
        <v>2</v>
      </c>
      <c r="AI128">
        <v>55658741</v>
      </c>
      <c r="AJ128">
        <v>118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ROW(Source!A68)</f>
        <v>68</v>
      </c>
      <c r="B129">
        <v>55658742</v>
      </c>
      <c r="C129">
        <v>55658739</v>
      </c>
      <c r="D129">
        <v>53792927</v>
      </c>
      <c r="E129">
        <v>1</v>
      </c>
      <c r="F129">
        <v>1</v>
      </c>
      <c r="G129">
        <v>1</v>
      </c>
      <c r="H129">
        <v>2</v>
      </c>
      <c r="I129" t="s">
        <v>368</v>
      </c>
      <c r="J129" t="s">
        <v>369</v>
      </c>
      <c r="K129" t="s">
        <v>370</v>
      </c>
      <c r="L129">
        <v>1367</v>
      </c>
      <c r="N129">
        <v>1011</v>
      </c>
      <c r="O129" t="s">
        <v>364</v>
      </c>
      <c r="P129" t="s">
        <v>364</v>
      </c>
      <c r="Q129">
        <v>1</v>
      </c>
      <c r="X129">
        <v>1.8</v>
      </c>
      <c r="Y129">
        <v>0</v>
      </c>
      <c r="Z129">
        <v>65.71</v>
      </c>
      <c r="AA129">
        <v>11.6</v>
      </c>
      <c r="AB129">
        <v>0</v>
      </c>
      <c r="AC129">
        <v>0</v>
      </c>
      <c r="AD129">
        <v>1</v>
      </c>
      <c r="AE129">
        <v>0</v>
      </c>
      <c r="AG129">
        <v>1.8</v>
      </c>
      <c r="AH129">
        <v>2</v>
      </c>
      <c r="AI129">
        <v>55658742</v>
      </c>
      <c r="AJ129">
        <v>119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ROW(Source!A68)</f>
        <v>68</v>
      </c>
      <c r="B130">
        <v>55658743</v>
      </c>
      <c r="C130">
        <v>55658739</v>
      </c>
      <c r="D130">
        <v>53793708</v>
      </c>
      <c r="E130">
        <v>1</v>
      </c>
      <c r="F130">
        <v>1</v>
      </c>
      <c r="G130">
        <v>1</v>
      </c>
      <c r="H130">
        <v>2</v>
      </c>
      <c r="I130" t="s">
        <v>389</v>
      </c>
      <c r="J130" t="s">
        <v>390</v>
      </c>
      <c r="K130" t="s">
        <v>391</v>
      </c>
      <c r="L130">
        <v>1367</v>
      </c>
      <c r="N130">
        <v>1011</v>
      </c>
      <c r="O130" t="s">
        <v>364</v>
      </c>
      <c r="P130" t="s">
        <v>364</v>
      </c>
      <c r="Q130">
        <v>1</v>
      </c>
      <c r="X130">
        <v>16.4</v>
      </c>
      <c r="Y130">
        <v>0</v>
      </c>
      <c r="Z130">
        <v>27.42</v>
      </c>
      <c r="AA130">
        <v>11.6</v>
      </c>
      <c r="AB130">
        <v>0</v>
      </c>
      <c r="AC130">
        <v>0</v>
      </c>
      <c r="AD130">
        <v>1</v>
      </c>
      <c r="AE130">
        <v>0</v>
      </c>
      <c r="AG130">
        <v>16.4</v>
      </c>
      <c r="AH130">
        <v>2</v>
      </c>
      <c r="AI130">
        <v>55658743</v>
      </c>
      <c r="AJ130">
        <v>120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ROW(Source!A68)</f>
        <v>68</v>
      </c>
      <c r="B131">
        <v>55658744</v>
      </c>
      <c r="C131">
        <v>55658739</v>
      </c>
      <c r="D131">
        <v>53642555</v>
      </c>
      <c r="E131">
        <v>1</v>
      </c>
      <c r="F131">
        <v>1</v>
      </c>
      <c r="G131">
        <v>1</v>
      </c>
      <c r="H131">
        <v>3</v>
      </c>
      <c r="I131" t="s">
        <v>392</v>
      </c>
      <c r="J131" t="s">
        <v>393</v>
      </c>
      <c r="K131" t="s">
        <v>394</v>
      </c>
      <c r="L131">
        <v>1339</v>
      </c>
      <c r="N131">
        <v>1007</v>
      </c>
      <c r="O131" t="s">
        <v>46</v>
      </c>
      <c r="P131" t="s">
        <v>46</v>
      </c>
      <c r="Q131">
        <v>1</v>
      </c>
      <c r="X131">
        <v>0.443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0.443</v>
      </c>
      <c r="AH131">
        <v>2</v>
      </c>
      <c r="AI131">
        <v>55658744</v>
      </c>
      <c r="AJ131">
        <v>121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ROW(Source!A68)</f>
        <v>68</v>
      </c>
      <c r="B132">
        <v>55658745</v>
      </c>
      <c r="C132">
        <v>55658739</v>
      </c>
      <c r="D132">
        <v>53645564</v>
      </c>
      <c r="E132">
        <v>1</v>
      </c>
      <c r="F132">
        <v>1</v>
      </c>
      <c r="G132">
        <v>1</v>
      </c>
      <c r="H132">
        <v>3</v>
      </c>
      <c r="I132" t="s">
        <v>459</v>
      </c>
      <c r="J132" t="s">
        <v>460</v>
      </c>
      <c r="K132" t="s">
        <v>461</v>
      </c>
      <c r="L132">
        <v>1371</v>
      </c>
      <c r="N132">
        <v>1013</v>
      </c>
      <c r="O132" t="s">
        <v>109</v>
      </c>
      <c r="P132" t="s">
        <v>109</v>
      </c>
      <c r="Q132">
        <v>1</v>
      </c>
      <c r="X132">
        <v>0</v>
      </c>
      <c r="Y132">
        <v>452.4</v>
      </c>
      <c r="Z132">
        <v>0</v>
      </c>
      <c r="AA132">
        <v>0</v>
      </c>
      <c r="AB132">
        <v>0</v>
      </c>
      <c r="AC132">
        <v>1</v>
      </c>
      <c r="AD132">
        <v>0</v>
      </c>
      <c r="AE132">
        <v>0</v>
      </c>
      <c r="AG132">
        <v>0</v>
      </c>
      <c r="AH132">
        <v>3</v>
      </c>
      <c r="AI132">
        <v>-1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ROW(Source!A69)</f>
        <v>69</v>
      </c>
      <c r="B133">
        <v>55658740</v>
      </c>
      <c r="C133">
        <v>55658739</v>
      </c>
      <c r="D133">
        <v>53630109</v>
      </c>
      <c r="E133">
        <v>70</v>
      </c>
      <c r="F133">
        <v>1</v>
      </c>
      <c r="G133">
        <v>1</v>
      </c>
      <c r="H133">
        <v>1</v>
      </c>
      <c r="I133" t="s">
        <v>387</v>
      </c>
      <c r="K133" t="s">
        <v>388</v>
      </c>
      <c r="L133">
        <v>1191</v>
      </c>
      <c r="N133">
        <v>1013</v>
      </c>
      <c r="O133" t="s">
        <v>358</v>
      </c>
      <c r="P133" t="s">
        <v>358</v>
      </c>
      <c r="Q133">
        <v>1</v>
      </c>
      <c r="X133">
        <v>17.3</v>
      </c>
      <c r="Y133">
        <v>0</v>
      </c>
      <c r="Z133">
        <v>0</v>
      </c>
      <c r="AA133">
        <v>0</v>
      </c>
      <c r="AB133">
        <v>9.62</v>
      </c>
      <c r="AC133">
        <v>0</v>
      </c>
      <c r="AD133">
        <v>1</v>
      </c>
      <c r="AE133">
        <v>1</v>
      </c>
      <c r="AG133">
        <v>17.3</v>
      </c>
      <c r="AH133">
        <v>2</v>
      </c>
      <c r="AI133">
        <v>55658740</v>
      </c>
      <c r="AJ133">
        <v>123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ROW(Source!A69)</f>
        <v>69</v>
      </c>
      <c r="B134">
        <v>55658741</v>
      </c>
      <c r="C134">
        <v>55658739</v>
      </c>
      <c r="D134">
        <v>53630257</v>
      </c>
      <c r="E134">
        <v>70</v>
      </c>
      <c r="F134">
        <v>1</v>
      </c>
      <c r="G134">
        <v>1</v>
      </c>
      <c r="H134">
        <v>1</v>
      </c>
      <c r="I134" t="s">
        <v>359</v>
      </c>
      <c r="K134" t="s">
        <v>360</v>
      </c>
      <c r="L134">
        <v>1191</v>
      </c>
      <c r="N134">
        <v>1013</v>
      </c>
      <c r="O134" t="s">
        <v>358</v>
      </c>
      <c r="P134" t="s">
        <v>358</v>
      </c>
      <c r="Q134">
        <v>1</v>
      </c>
      <c r="X134">
        <v>18.2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G134">
        <v>18.2</v>
      </c>
      <c r="AH134">
        <v>2</v>
      </c>
      <c r="AI134">
        <v>55658741</v>
      </c>
      <c r="AJ134">
        <v>124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ROW(Source!A69)</f>
        <v>69</v>
      </c>
      <c r="B135">
        <v>55658742</v>
      </c>
      <c r="C135">
        <v>55658739</v>
      </c>
      <c r="D135">
        <v>53792927</v>
      </c>
      <c r="E135">
        <v>1</v>
      </c>
      <c r="F135">
        <v>1</v>
      </c>
      <c r="G135">
        <v>1</v>
      </c>
      <c r="H135">
        <v>2</v>
      </c>
      <c r="I135" t="s">
        <v>368</v>
      </c>
      <c r="J135" t="s">
        <v>369</v>
      </c>
      <c r="K135" t="s">
        <v>370</v>
      </c>
      <c r="L135">
        <v>1367</v>
      </c>
      <c r="N135">
        <v>1011</v>
      </c>
      <c r="O135" t="s">
        <v>364</v>
      </c>
      <c r="P135" t="s">
        <v>364</v>
      </c>
      <c r="Q135">
        <v>1</v>
      </c>
      <c r="X135">
        <v>1.8</v>
      </c>
      <c r="Y135">
        <v>0</v>
      </c>
      <c r="Z135">
        <v>65.71</v>
      </c>
      <c r="AA135">
        <v>11.6</v>
      </c>
      <c r="AB135">
        <v>0</v>
      </c>
      <c r="AC135">
        <v>0</v>
      </c>
      <c r="AD135">
        <v>1</v>
      </c>
      <c r="AE135">
        <v>0</v>
      </c>
      <c r="AG135">
        <v>1.8</v>
      </c>
      <c r="AH135">
        <v>2</v>
      </c>
      <c r="AI135">
        <v>55658742</v>
      </c>
      <c r="AJ135">
        <v>125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ROW(Source!A69)</f>
        <v>69</v>
      </c>
      <c r="B136">
        <v>55658743</v>
      </c>
      <c r="C136">
        <v>55658739</v>
      </c>
      <c r="D136">
        <v>53793708</v>
      </c>
      <c r="E136">
        <v>1</v>
      </c>
      <c r="F136">
        <v>1</v>
      </c>
      <c r="G136">
        <v>1</v>
      </c>
      <c r="H136">
        <v>2</v>
      </c>
      <c r="I136" t="s">
        <v>389</v>
      </c>
      <c r="J136" t="s">
        <v>390</v>
      </c>
      <c r="K136" t="s">
        <v>391</v>
      </c>
      <c r="L136">
        <v>1367</v>
      </c>
      <c r="N136">
        <v>1011</v>
      </c>
      <c r="O136" t="s">
        <v>364</v>
      </c>
      <c r="P136" t="s">
        <v>364</v>
      </c>
      <c r="Q136">
        <v>1</v>
      </c>
      <c r="X136">
        <v>16.4</v>
      </c>
      <c r="Y136">
        <v>0</v>
      </c>
      <c r="Z136">
        <v>27.42</v>
      </c>
      <c r="AA136">
        <v>11.6</v>
      </c>
      <c r="AB136">
        <v>0</v>
      </c>
      <c r="AC136">
        <v>0</v>
      </c>
      <c r="AD136">
        <v>1</v>
      </c>
      <c r="AE136">
        <v>0</v>
      </c>
      <c r="AG136">
        <v>16.4</v>
      </c>
      <c r="AH136">
        <v>2</v>
      </c>
      <c r="AI136">
        <v>55658743</v>
      </c>
      <c r="AJ136">
        <v>126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ROW(Source!A69)</f>
        <v>69</v>
      </c>
      <c r="B137">
        <v>55658744</v>
      </c>
      <c r="C137">
        <v>55658739</v>
      </c>
      <c r="D137">
        <v>53642555</v>
      </c>
      <c r="E137">
        <v>1</v>
      </c>
      <c r="F137">
        <v>1</v>
      </c>
      <c r="G137">
        <v>1</v>
      </c>
      <c r="H137">
        <v>3</v>
      </c>
      <c r="I137" t="s">
        <v>392</v>
      </c>
      <c r="J137" t="s">
        <v>393</v>
      </c>
      <c r="K137" t="s">
        <v>394</v>
      </c>
      <c r="L137">
        <v>1339</v>
      </c>
      <c r="N137">
        <v>1007</v>
      </c>
      <c r="O137" t="s">
        <v>46</v>
      </c>
      <c r="P137" t="s">
        <v>46</v>
      </c>
      <c r="Q137">
        <v>1</v>
      </c>
      <c r="X137">
        <v>0.443</v>
      </c>
      <c r="Y137">
        <v>2.44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0.443</v>
      </c>
      <c r="AH137">
        <v>2</v>
      </c>
      <c r="AI137">
        <v>55658744</v>
      </c>
      <c r="AJ137">
        <v>127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ROW(Source!A69)</f>
        <v>69</v>
      </c>
      <c r="B138">
        <v>55658745</v>
      </c>
      <c r="C138">
        <v>55658739</v>
      </c>
      <c r="D138">
        <v>53645564</v>
      </c>
      <c r="E138">
        <v>1</v>
      </c>
      <c r="F138">
        <v>1</v>
      </c>
      <c r="G138">
        <v>1</v>
      </c>
      <c r="H138">
        <v>3</v>
      </c>
      <c r="I138" t="s">
        <v>459</v>
      </c>
      <c r="J138" t="s">
        <v>460</v>
      </c>
      <c r="K138" t="s">
        <v>461</v>
      </c>
      <c r="L138">
        <v>1371</v>
      </c>
      <c r="N138">
        <v>1013</v>
      </c>
      <c r="O138" t="s">
        <v>109</v>
      </c>
      <c r="P138" t="s">
        <v>109</v>
      </c>
      <c r="Q138">
        <v>1</v>
      </c>
      <c r="X138">
        <v>0</v>
      </c>
      <c r="Y138">
        <v>452.4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G138">
        <v>0</v>
      </c>
      <c r="AH138">
        <v>3</v>
      </c>
      <c r="AI138">
        <v>-1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ROW(Source!A72)</f>
        <v>72</v>
      </c>
      <c r="B139">
        <v>55658733</v>
      </c>
      <c r="C139">
        <v>55658732</v>
      </c>
      <c r="D139">
        <v>53630073</v>
      </c>
      <c r="E139">
        <v>70</v>
      </c>
      <c r="F139">
        <v>1</v>
      </c>
      <c r="G139">
        <v>1</v>
      </c>
      <c r="H139">
        <v>1</v>
      </c>
      <c r="I139" t="s">
        <v>385</v>
      </c>
      <c r="K139" t="s">
        <v>386</v>
      </c>
      <c r="L139">
        <v>1191</v>
      </c>
      <c r="N139">
        <v>1013</v>
      </c>
      <c r="O139" t="s">
        <v>358</v>
      </c>
      <c r="P139" t="s">
        <v>358</v>
      </c>
      <c r="Q139">
        <v>1</v>
      </c>
      <c r="X139">
        <v>289</v>
      </c>
      <c r="Y139">
        <v>0</v>
      </c>
      <c r="Z139">
        <v>0</v>
      </c>
      <c r="AA139">
        <v>0</v>
      </c>
      <c r="AB139">
        <v>8.86</v>
      </c>
      <c r="AC139">
        <v>0</v>
      </c>
      <c r="AD139">
        <v>1</v>
      </c>
      <c r="AE139">
        <v>1</v>
      </c>
      <c r="AF139" t="s">
        <v>118</v>
      </c>
      <c r="AG139">
        <v>332.34999999999997</v>
      </c>
      <c r="AH139">
        <v>2</v>
      </c>
      <c r="AI139">
        <v>55658733</v>
      </c>
      <c r="AJ139">
        <v>129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ROW(Source!A72)</f>
        <v>72</v>
      </c>
      <c r="B140">
        <v>55658734</v>
      </c>
      <c r="C140">
        <v>55658732</v>
      </c>
      <c r="D140">
        <v>53630257</v>
      </c>
      <c r="E140">
        <v>70</v>
      </c>
      <c r="F140">
        <v>1</v>
      </c>
      <c r="G140">
        <v>1</v>
      </c>
      <c r="H140">
        <v>1</v>
      </c>
      <c r="I140" t="s">
        <v>359</v>
      </c>
      <c r="K140" t="s">
        <v>360</v>
      </c>
      <c r="L140">
        <v>1191</v>
      </c>
      <c r="N140">
        <v>1013</v>
      </c>
      <c r="O140" t="s">
        <v>358</v>
      </c>
      <c r="P140" t="s">
        <v>358</v>
      </c>
      <c r="Q140">
        <v>1</v>
      </c>
      <c r="X140">
        <v>0.59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117</v>
      </c>
      <c r="AG140">
        <v>0.7374999999999999</v>
      </c>
      <c r="AH140">
        <v>2</v>
      </c>
      <c r="AI140">
        <v>55658734</v>
      </c>
      <c r="AJ140">
        <v>130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ROW(Source!A72)</f>
        <v>72</v>
      </c>
      <c r="B141">
        <v>55658735</v>
      </c>
      <c r="C141">
        <v>55658732</v>
      </c>
      <c r="D141">
        <v>53791997</v>
      </c>
      <c r="E141">
        <v>1</v>
      </c>
      <c r="F141">
        <v>1</v>
      </c>
      <c r="G141">
        <v>1</v>
      </c>
      <c r="H141">
        <v>2</v>
      </c>
      <c r="I141" t="s">
        <v>361</v>
      </c>
      <c r="J141" t="s">
        <v>362</v>
      </c>
      <c r="K141" t="s">
        <v>363</v>
      </c>
      <c r="L141">
        <v>1367</v>
      </c>
      <c r="N141">
        <v>1011</v>
      </c>
      <c r="O141" t="s">
        <v>364</v>
      </c>
      <c r="P141" t="s">
        <v>364</v>
      </c>
      <c r="Q141">
        <v>1</v>
      </c>
      <c r="X141">
        <v>0.25</v>
      </c>
      <c r="Y141">
        <v>0</v>
      </c>
      <c r="Z141">
        <v>115.4</v>
      </c>
      <c r="AA141">
        <v>13.5</v>
      </c>
      <c r="AB141">
        <v>0</v>
      </c>
      <c r="AC141">
        <v>0</v>
      </c>
      <c r="AD141">
        <v>1</v>
      </c>
      <c r="AE141">
        <v>0</v>
      </c>
      <c r="AF141" t="s">
        <v>117</v>
      </c>
      <c r="AG141">
        <v>0.3125</v>
      </c>
      <c r="AH141">
        <v>2</v>
      </c>
      <c r="AI141">
        <v>55658735</v>
      </c>
      <c r="AJ141">
        <v>131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ROW(Source!A72)</f>
        <v>72</v>
      </c>
      <c r="B142">
        <v>55658736</v>
      </c>
      <c r="C142">
        <v>55658732</v>
      </c>
      <c r="D142">
        <v>53792927</v>
      </c>
      <c r="E142">
        <v>1</v>
      </c>
      <c r="F142">
        <v>1</v>
      </c>
      <c r="G142">
        <v>1</v>
      </c>
      <c r="H142">
        <v>2</v>
      </c>
      <c r="I142" t="s">
        <v>368</v>
      </c>
      <c r="J142" t="s">
        <v>369</v>
      </c>
      <c r="K142" t="s">
        <v>370</v>
      </c>
      <c r="L142">
        <v>1367</v>
      </c>
      <c r="N142">
        <v>1011</v>
      </c>
      <c r="O142" t="s">
        <v>364</v>
      </c>
      <c r="P142" t="s">
        <v>364</v>
      </c>
      <c r="Q142">
        <v>1</v>
      </c>
      <c r="X142">
        <v>0.34</v>
      </c>
      <c r="Y142">
        <v>0</v>
      </c>
      <c r="Z142">
        <v>65.71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117</v>
      </c>
      <c r="AG142">
        <v>0.42500000000000004</v>
      </c>
      <c r="AH142">
        <v>2</v>
      </c>
      <c r="AI142">
        <v>55658736</v>
      </c>
      <c r="AJ142">
        <v>132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ROW(Source!A72)</f>
        <v>72</v>
      </c>
      <c r="B143">
        <v>55658737</v>
      </c>
      <c r="C143">
        <v>55658732</v>
      </c>
      <c r="D143">
        <v>53659482</v>
      </c>
      <c r="E143">
        <v>1</v>
      </c>
      <c r="F143">
        <v>1</v>
      </c>
      <c r="G143">
        <v>1</v>
      </c>
      <c r="H143">
        <v>3</v>
      </c>
      <c r="I143" t="s">
        <v>107</v>
      </c>
      <c r="J143" t="s">
        <v>110</v>
      </c>
      <c r="K143" t="s">
        <v>108</v>
      </c>
      <c r="L143">
        <v>1371</v>
      </c>
      <c r="N143">
        <v>1013</v>
      </c>
      <c r="O143" t="s">
        <v>109</v>
      </c>
      <c r="P143" t="s">
        <v>109</v>
      </c>
      <c r="Q143">
        <v>1</v>
      </c>
      <c r="X143">
        <v>0.01</v>
      </c>
      <c r="Y143">
        <v>346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0.01</v>
      </c>
      <c r="AH143">
        <v>2</v>
      </c>
      <c r="AI143">
        <v>55658737</v>
      </c>
      <c r="AJ143">
        <v>133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ROW(Source!A72)</f>
        <v>72</v>
      </c>
      <c r="B144">
        <v>55658738</v>
      </c>
      <c r="C144">
        <v>55658732</v>
      </c>
      <c r="D144">
        <v>53662892</v>
      </c>
      <c r="E144">
        <v>1</v>
      </c>
      <c r="F144">
        <v>1</v>
      </c>
      <c r="G144">
        <v>1</v>
      </c>
      <c r="H144">
        <v>3</v>
      </c>
      <c r="I144" t="s">
        <v>112</v>
      </c>
      <c r="J144" t="s">
        <v>114</v>
      </c>
      <c r="K144" t="s">
        <v>113</v>
      </c>
      <c r="L144">
        <v>1348</v>
      </c>
      <c r="N144">
        <v>1009</v>
      </c>
      <c r="O144" t="s">
        <v>41</v>
      </c>
      <c r="P144" t="s">
        <v>41</v>
      </c>
      <c r="Q144">
        <v>1000</v>
      </c>
      <c r="X144">
        <v>1</v>
      </c>
      <c r="Y144">
        <v>10100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1</v>
      </c>
      <c r="AH144">
        <v>2</v>
      </c>
      <c r="AI144">
        <v>55658738</v>
      </c>
      <c r="AJ144">
        <v>134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ROW(Source!A73)</f>
        <v>73</v>
      </c>
      <c r="B145">
        <v>55658733</v>
      </c>
      <c r="C145">
        <v>55658732</v>
      </c>
      <c r="D145">
        <v>53630073</v>
      </c>
      <c r="E145">
        <v>70</v>
      </c>
      <c r="F145">
        <v>1</v>
      </c>
      <c r="G145">
        <v>1</v>
      </c>
      <c r="H145">
        <v>1</v>
      </c>
      <c r="I145" t="s">
        <v>385</v>
      </c>
      <c r="K145" t="s">
        <v>386</v>
      </c>
      <c r="L145">
        <v>1191</v>
      </c>
      <c r="N145">
        <v>1013</v>
      </c>
      <c r="O145" t="s">
        <v>358</v>
      </c>
      <c r="P145" t="s">
        <v>358</v>
      </c>
      <c r="Q145">
        <v>1</v>
      </c>
      <c r="X145">
        <v>289</v>
      </c>
      <c r="Y145">
        <v>0</v>
      </c>
      <c r="Z145">
        <v>0</v>
      </c>
      <c r="AA145">
        <v>0</v>
      </c>
      <c r="AB145">
        <v>8.86</v>
      </c>
      <c r="AC145">
        <v>0</v>
      </c>
      <c r="AD145">
        <v>1</v>
      </c>
      <c r="AE145">
        <v>1</v>
      </c>
      <c r="AF145" t="s">
        <v>118</v>
      </c>
      <c r="AG145">
        <v>332.34999999999997</v>
      </c>
      <c r="AH145">
        <v>2</v>
      </c>
      <c r="AI145">
        <v>55658733</v>
      </c>
      <c r="AJ145">
        <v>135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ROW(Source!A73)</f>
        <v>73</v>
      </c>
      <c r="B146">
        <v>55658734</v>
      </c>
      <c r="C146">
        <v>55658732</v>
      </c>
      <c r="D146">
        <v>53630257</v>
      </c>
      <c r="E146">
        <v>70</v>
      </c>
      <c r="F146">
        <v>1</v>
      </c>
      <c r="G146">
        <v>1</v>
      </c>
      <c r="H146">
        <v>1</v>
      </c>
      <c r="I146" t="s">
        <v>359</v>
      </c>
      <c r="K146" t="s">
        <v>360</v>
      </c>
      <c r="L146">
        <v>1191</v>
      </c>
      <c r="N146">
        <v>1013</v>
      </c>
      <c r="O146" t="s">
        <v>358</v>
      </c>
      <c r="P146" t="s">
        <v>358</v>
      </c>
      <c r="Q146">
        <v>1</v>
      </c>
      <c r="X146">
        <v>0.59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117</v>
      </c>
      <c r="AG146">
        <v>0.7374999999999999</v>
      </c>
      <c r="AH146">
        <v>2</v>
      </c>
      <c r="AI146">
        <v>55658734</v>
      </c>
      <c r="AJ146">
        <v>136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ROW(Source!A73)</f>
        <v>73</v>
      </c>
      <c r="B147">
        <v>55658735</v>
      </c>
      <c r="C147">
        <v>55658732</v>
      </c>
      <c r="D147">
        <v>53791997</v>
      </c>
      <c r="E147">
        <v>1</v>
      </c>
      <c r="F147">
        <v>1</v>
      </c>
      <c r="G147">
        <v>1</v>
      </c>
      <c r="H147">
        <v>2</v>
      </c>
      <c r="I147" t="s">
        <v>361</v>
      </c>
      <c r="J147" t="s">
        <v>362</v>
      </c>
      <c r="K147" t="s">
        <v>363</v>
      </c>
      <c r="L147">
        <v>1367</v>
      </c>
      <c r="N147">
        <v>1011</v>
      </c>
      <c r="O147" t="s">
        <v>364</v>
      </c>
      <c r="P147" t="s">
        <v>364</v>
      </c>
      <c r="Q147">
        <v>1</v>
      </c>
      <c r="X147">
        <v>0.25</v>
      </c>
      <c r="Y147">
        <v>0</v>
      </c>
      <c r="Z147">
        <v>115.4</v>
      </c>
      <c r="AA147">
        <v>13.5</v>
      </c>
      <c r="AB147">
        <v>0</v>
      </c>
      <c r="AC147">
        <v>0</v>
      </c>
      <c r="AD147">
        <v>1</v>
      </c>
      <c r="AE147">
        <v>0</v>
      </c>
      <c r="AF147" t="s">
        <v>117</v>
      </c>
      <c r="AG147">
        <v>0.3125</v>
      </c>
      <c r="AH147">
        <v>2</v>
      </c>
      <c r="AI147">
        <v>55658735</v>
      </c>
      <c r="AJ147">
        <v>137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ROW(Source!A73)</f>
        <v>73</v>
      </c>
      <c r="B148">
        <v>55658736</v>
      </c>
      <c r="C148">
        <v>55658732</v>
      </c>
      <c r="D148">
        <v>53792927</v>
      </c>
      <c r="E148">
        <v>1</v>
      </c>
      <c r="F148">
        <v>1</v>
      </c>
      <c r="G148">
        <v>1</v>
      </c>
      <c r="H148">
        <v>2</v>
      </c>
      <c r="I148" t="s">
        <v>368</v>
      </c>
      <c r="J148" t="s">
        <v>369</v>
      </c>
      <c r="K148" t="s">
        <v>370</v>
      </c>
      <c r="L148">
        <v>1367</v>
      </c>
      <c r="N148">
        <v>1011</v>
      </c>
      <c r="O148" t="s">
        <v>364</v>
      </c>
      <c r="P148" t="s">
        <v>364</v>
      </c>
      <c r="Q148">
        <v>1</v>
      </c>
      <c r="X148">
        <v>0.34</v>
      </c>
      <c r="Y148">
        <v>0</v>
      </c>
      <c r="Z148">
        <v>65.71</v>
      </c>
      <c r="AA148">
        <v>11.6</v>
      </c>
      <c r="AB148">
        <v>0</v>
      </c>
      <c r="AC148">
        <v>0</v>
      </c>
      <c r="AD148">
        <v>1</v>
      </c>
      <c r="AE148">
        <v>0</v>
      </c>
      <c r="AF148" t="s">
        <v>117</v>
      </c>
      <c r="AG148">
        <v>0.42500000000000004</v>
      </c>
      <c r="AH148">
        <v>2</v>
      </c>
      <c r="AI148">
        <v>55658736</v>
      </c>
      <c r="AJ148">
        <v>138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ROW(Source!A73)</f>
        <v>73</v>
      </c>
      <c r="B149">
        <v>55658737</v>
      </c>
      <c r="C149">
        <v>55658732</v>
      </c>
      <c r="D149">
        <v>53659482</v>
      </c>
      <c r="E149">
        <v>1</v>
      </c>
      <c r="F149">
        <v>1</v>
      </c>
      <c r="G149">
        <v>1</v>
      </c>
      <c r="H149">
        <v>3</v>
      </c>
      <c r="I149" t="s">
        <v>107</v>
      </c>
      <c r="J149" t="s">
        <v>110</v>
      </c>
      <c r="K149" t="s">
        <v>108</v>
      </c>
      <c r="L149">
        <v>1371</v>
      </c>
      <c r="N149">
        <v>1013</v>
      </c>
      <c r="O149" t="s">
        <v>109</v>
      </c>
      <c r="P149" t="s">
        <v>109</v>
      </c>
      <c r="Q149">
        <v>1</v>
      </c>
      <c r="X149">
        <v>0.01</v>
      </c>
      <c r="Y149">
        <v>346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0.01</v>
      </c>
      <c r="AH149">
        <v>2</v>
      </c>
      <c r="AI149">
        <v>55658737</v>
      </c>
      <c r="AJ149">
        <v>139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ROW(Source!A73)</f>
        <v>73</v>
      </c>
      <c r="B150">
        <v>55658738</v>
      </c>
      <c r="C150">
        <v>55658732</v>
      </c>
      <c r="D150">
        <v>53662892</v>
      </c>
      <c r="E150">
        <v>1</v>
      </c>
      <c r="F150">
        <v>1</v>
      </c>
      <c r="G150">
        <v>1</v>
      </c>
      <c r="H150">
        <v>3</v>
      </c>
      <c r="I150" t="s">
        <v>112</v>
      </c>
      <c r="J150" t="s">
        <v>114</v>
      </c>
      <c r="K150" t="s">
        <v>113</v>
      </c>
      <c r="L150">
        <v>1348</v>
      </c>
      <c r="N150">
        <v>1009</v>
      </c>
      <c r="O150" t="s">
        <v>41</v>
      </c>
      <c r="P150" t="s">
        <v>41</v>
      </c>
      <c r="Q150">
        <v>1000</v>
      </c>
      <c r="X150">
        <v>1</v>
      </c>
      <c r="Y150">
        <v>10100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1</v>
      </c>
      <c r="AH150">
        <v>2</v>
      </c>
      <c r="AI150">
        <v>55658738</v>
      </c>
      <c r="AJ150">
        <v>140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ROW(Source!A74)</f>
        <v>74</v>
      </c>
      <c r="B151">
        <v>55657461</v>
      </c>
      <c r="C151">
        <v>55657460</v>
      </c>
      <c r="D151">
        <v>53630123</v>
      </c>
      <c r="E151">
        <v>70</v>
      </c>
      <c r="F151">
        <v>1</v>
      </c>
      <c r="G151">
        <v>1</v>
      </c>
      <c r="H151">
        <v>1</v>
      </c>
      <c r="I151" t="s">
        <v>356</v>
      </c>
      <c r="K151" t="s">
        <v>357</v>
      </c>
      <c r="L151">
        <v>1191</v>
      </c>
      <c r="N151">
        <v>1013</v>
      </c>
      <c r="O151" t="s">
        <v>358</v>
      </c>
      <c r="P151" t="s">
        <v>358</v>
      </c>
      <c r="Q151">
        <v>1</v>
      </c>
      <c r="X151">
        <v>298</v>
      </c>
      <c r="Y151">
        <v>0</v>
      </c>
      <c r="Z151">
        <v>0</v>
      </c>
      <c r="AA151">
        <v>0</v>
      </c>
      <c r="AB151">
        <v>10.06</v>
      </c>
      <c r="AC151">
        <v>0</v>
      </c>
      <c r="AD151">
        <v>1</v>
      </c>
      <c r="AE151">
        <v>1</v>
      </c>
      <c r="AF151" t="s">
        <v>118</v>
      </c>
      <c r="AG151">
        <v>342.7</v>
      </c>
      <c r="AH151">
        <v>2</v>
      </c>
      <c r="AI151">
        <v>55657461</v>
      </c>
      <c r="AJ151">
        <v>141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ROW(Source!A74)</f>
        <v>74</v>
      </c>
      <c r="B152">
        <v>55657462</v>
      </c>
      <c r="C152">
        <v>55657460</v>
      </c>
      <c r="D152">
        <v>53630257</v>
      </c>
      <c r="E152">
        <v>70</v>
      </c>
      <c r="F152">
        <v>1</v>
      </c>
      <c r="G152">
        <v>1</v>
      </c>
      <c r="H152">
        <v>1</v>
      </c>
      <c r="I152" t="s">
        <v>359</v>
      </c>
      <c r="K152" t="s">
        <v>360</v>
      </c>
      <c r="L152">
        <v>1191</v>
      </c>
      <c r="N152">
        <v>1013</v>
      </c>
      <c r="O152" t="s">
        <v>358</v>
      </c>
      <c r="P152" t="s">
        <v>358</v>
      </c>
      <c r="Q152">
        <v>1</v>
      </c>
      <c r="X152">
        <v>2.48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2</v>
      </c>
      <c r="AF152" t="s">
        <v>117</v>
      </c>
      <c r="AG152">
        <v>3.1</v>
      </c>
      <c r="AH152">
        <v>2</v>
      </c>
      <c r="AI152">
        <v>55657462</v>
      </c>
      <c r="AJ152">
        <v>142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ROW(Source!A74)</f>
        <v>74</v>
      </c>
      <c r="B153">
        <v>55657463</v>
      </c>
      <c r="C153">
        <v>55657460</v>
      </c>
      <c r="D153">
        <v>53791997</v>
      </c>
      <c r="E153">
        <v>1</v>
      </c>
      <c r="F153">
        <v>1</v>
      </c>
      <c r="G153">
        <v>1</v>
      </c>
      <c r="H153">
        <v>2</v>
      </c>
      <c r="I153" t="s">
        <v>361</v>
      </c>
      <c r="J153" t="s">
        <v>362</v>
      </c>
      <c r="K153" t="s">
        <v>363</v>
      </c>
      <c r="L153">
        <v>1367</v>
      </c>
      <c r="N153">
        <v>1011</v>
      </c>
      <c r="O153" t="s">
        <v>364</v>
      </c>
      <c r="P153" t="s">
        <v>364</v>
      </c>
      <c r="Q153">
        <v>1</v>
      </c>
      <c r="X153">
        <v>2.2</v>
      </c>
      <c r="Y153">
        <v>0</v>
      </c>
      <c r="Z153">
        <v>115.4</v>
      </c>
      <c r="AA153">
        <v>13.5</v>
      </c>
      <c r="AB153">
        <v>0</v>
      </c>
      <c r="AC153">
        <v>0</v>
      </c>
      <c r="AD153">
        <v>1</v>
      </c>
      <c r="AE153">
        <v>0</v>
      </c>
      <c r="AF153" t="s">
        <v>117</v>
      </c>
      <c r="AG153">
        <v>2.75</v>
      </c>
      <c r="AH153">
        <v>2</v>
      </c>
      <c r="AI153">
        <v>55657463</v>
      </c>
      <c r="AJ153">
        <v>143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ROW(Source!A74)</f>
        <v>74</v>
      </c>
      <c r="B154">
        <v>55657464</v>
      </c>
      <c r="C154">
        <v>55657460</v>
      </c>
      <c r="D154">
        <v>53792134</v>
      </c>
      <c r="E154">
        <v>1</v>
      </c>
      <c r="F154">
        <v>1</v>
      </c>
      <c r="G154">
        <v>1</v>
      </c>
      <c r="H154">
        <v>2</v>
      </c>
      <c r="I154" t="s">
        <v>365</v>
      </c>
      <c r="J154" t="s">
        <v>366</v>
      </c>
      <c r="K154" t="s">
        <v>367</v>
      </c>
      <c r="L154">
        <v>1367</v>
      </c>
      <c r="N154">
        <v>1011</v>
      </c>
      <c r="O154" t="s">
        <v>364</v>
      </c>
      <c r="P154" t="s">
        <v>364</v>
      </c>
      <c r="Q154">
        <v>1</v>
      </c>
      <c r="X154">
        <v>43.9</v>
      </c>
      <c r="Y154">
        <v>0</v>
      </c>
      <c r="Z154">
        <v>6.9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117</v>
      </c>
      <c r="AG154">
        <v>54.875</v>
      </c>
      <c r="AH154">
        <v>2</v>
      </c>
      <c r="AI154">
        <v>55657464</v>
      </c>
      <c r="AJ154">
        <v>144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ROW(Source!A74)</f>
        <v>74</v>
      </c>
      <c r="B155">
        <v>55657465</v>
      </c>
      <c r="C155">
        <v>55657460</v>
      </c>
      <c r="D155">
        <v>53792927</v>
      </c>
      <c r="E155">
        <v>1</v>
      </c>
      <c r="F155">
        <v>1</v>
      </c>
      <c r="G155">
        <v>1</v>
      </c>
      <c r="H155">
        <v>2</v>
      </c>
      <c r="I155" t="s">
        <v>368</v>
      </c>
      <c r="J155" t="s">
        <v>369</v>
      </c>
      <c r="K155" t="s">
        <v>370</v>
      </c>
      <c r="L155">
        <v>1367</v>
      </c>
      <c r="N155">
        <v>1011</v>
      </c>
      <c r="O155" t="s">
        <v>364</v>
      </c>
      <c r="P155" t="s">
        <v>364</v>
      </c>
      <c r="Q155">
        <v>1</v>
      </c>
      <c r="X155">
        <v>0.28</v>
      </c>
      <c r="Y155">
        <v>0</v>
      </c>
      <c r="Z155">
        <v>65.71</v>
      </c>
      <c r="AA155">
        <v>11.6</v>
      </c>
      <c r="AB155">
        <v>0</v>
      </c>
      <c r="AC155">
        <v>0</v>
      </c>
      <c r="AD155">
        <v>1</v>
      </c>
      <c r="AE155">
        <v>0</v>
      </c>
      <c r="AF155" t="s">
        <v>117</v>
      </c>
      <c r="AG155">
        <v>0.35000000000000003</v>
      </c>
      <c r="AH155">
        <v>2</v>
      </c>
      <c r="AI155">
        <v>55657465</v>
      </c>
      <c r="AJ155">
        <v>145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ROW(Source!A74)</f>
        <v>74</v>
      </c>
      <c r="B156">
        <v>55657466</v>
      </c>
      <c r="C156">
        <v>55657460</v>
      </c>
      <c r="D156">
        <v>53645866</v>
      </c>
      <c r="E156">
        <v>1</v>
      </c>
      <c r="F156">
        <v>1</v>
      </c>
      <c r="G156">
        <v>1</v>
      </c>
      <c r="H156">
        <v>3</v>
      </c>
      <c r="I156" t="s">
        <v>446</v>
      </c>
      <c r="J156" t="s">
        <v>447</v>
      </c>
      <c r="K156" t="s">
        <v>448</v>
      </c>
      <c r="L156">
        <v>1346</v>
      </c>
      <c r="N156">
        <v>1009</v>
      </c>
      <c r="O156" t="s">
        <v>51</v>
      </c>
      <c r="P156" t="s">
        <v>51</v>
      </c>
      <c r="Q156">
        <v>1</v>
      </c>
      <c r="X156">
        <v>0</v>
      </c>
      <c r="Y156">
        <v>28.26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0</v>
      </c>
      <c r="AG156">
        <v>0</v>
      </c>
      <c r="AH156">
        <v>3</v>
      </c>
      <c r="AI156">
        <v>-1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ROW(Source!A74)</f>
        <v>74</v>
      </c>
      <c r="B157">
        <v>55657467</v>
      </c>
      <c r="C157">
        <v>55657460</v>
      </c>
      <c r="D157">
        <v>53646035</v>
      </c>
      <c r="E157">
        <v>1</v>
      </c>
      <c r="F157">
        <v>1</v>
      </c>
      <c r="G157">
        <v>1</v>
      </c>
      <c r="H157">
        <v>3</v>
      </c>
      <c r="I157" t="s">
        <v>66</v>
      </c>
      <c r="J157" t="s">
        <v>68</v>
      </c>
      <c r="K157" t="s">
        <v>67</v>
      </c>
      <c r="L157">
        <v>1348</v>
      </c>
      <c r="N157">
        <v>1009</v>
      </c>
      <c r="O157" t="s">
        <v>41</v>
      </c>
      <c r="P157" t="s">
        <v>41</v>
      </c>
      <c r="Q157">
        <v>1000</v>
      </c>
      <c r="X157">
        <v>0.00115</v>
      </c>
      <c r="Y157">
        <v>37900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0.00115</v>
      </c>
      <c r="AH157">
        <v>2</v>
      </c>
      <c r="AI157">
        <v>55657467</v>
      </c>
      <c r="AJ157">
        <v>146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ROW(Source!A74)</f>
        <v>74</v>
      </c>
      <c r="B158">
        <v>55657468</v>
      </c>
      <c r="C158">
        <v>55657460</v>
      </c>
      <c r="D158">
        <v>53646160</v>
      </c>
      <c r="E158">
        <v>1</v>
      </c>
      <c r="F158">
        <v>1</v>
      </c>
      <c r="G158">
        <v>1</v>
      </c>
      <c r="H158">
        <v>3</v>
      </c>
      <c r="I158" t="s">
        <v>449</v>
      </c>
      <c r="J158" t="s">
        <v>450</v>
      </c>
      <c r="K158" t="s">
        <v>451</v>
      </c>
      <c r="L158">
        <v>1327</v>
      </c>
      <c r="N158">
        <v>1005</v>
      </c>
      <c r="O158" t="s">
        <v>146</v>
      </c>
      <c r="P158" t="s">
        <v>146</v>
      </c>
      <c r="Q158">
        <v>1</v>
      </c>
      <c r="X158">
        <v>0</v>
      </c>
      <c r="Y158">
        <v>52</v>
      </c>
      <c r="Z158">
        <v>0</v>
      </c>
      <c r="AA158">
        <v>0</v>
      </c>
      <c r="AB158">
        <v>0</v>
      </c>
      <c r="AC158">
        <v>1</v>
      </c>
      <c r="AD158">
        <v>0</v>
      </c>
      <c r="AE158">
        <v>0</v>
      </c>
      <c r="AG158">
        <v>0</v>
      </c>
      <c r="AH158">
        <v>3</v>
      </c>
      <c r="AI158">
        <v>-1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ROW(Source!A74)</f>
        <v>74</v>
      </c>
      <c r="B159">
        <v>55657469</v>
      </c>
      <c r="C159">
        <v>55657460</v>
      </c>
      <c r="D159">
        <v>53646246</v>
      </c>
      <c r="E159">
        <v>1</v>
      </c>
      <c r="F159">
        <v>1</v>
      </c>
      <c r="G159">
        <v>1</v>
      </c>
      <c r="H159">
        <v>3</v>
      </c>
      <c r="I159" t="s">
        <v>452</v>
      </c>
      <c r="J159" t="s">
        <v>453</v>
      </c>
      <c r="K159" t="s">
        <v>454</v>
      </c>
      <c r="L159">
        <v>1327</v>
      </c>
      <c r="N159">
        <v>1005</v>
      </c>
      <c r="O159" t="s">
        <v>146</v>
      </c>
      <c r="P159" t="s">
        <v>146</v>
      </c>
      <c r="Q159">
        <v>1</v>
      </c>
      <c r="X159">
        <v>0</v>
      </c>
      <c r="Y159">
        <v>350</v>
      </c>
      <c r="Z159">
        <v>0</v>
      </c>
      <c r="AA159">
        <v>0</v>
      </c>
      <c r="AB159">
        <v>0</v>
      </c>
      <c r="AC159">
        <v>1</v>
      </c>
      <c r="AD159">
        <v>0</v>
      </c>
      <c r="AE159">
        <v>0</v>
      </c>
      <c r="AG159">
        <v>0</v>
      </c>
      <c r="AH159">
        <v>3</v>
      </c>
      <c r="AI159">
        <v>-1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ROW(Source!A74)</f>
        <v>74</v>
      </c>
      <c r="B160">
        <v>55657470</v>
      </c>
      <c r="C160">
        <v>55657460</v>
      </c>
      <c r="D160">
        <v>53659617</v>
      </c>
      <c r="E160">
        <v>1</v>
      </c>
      <c r="F160">
        <v>1</v>
      </c>
      <c r="G160">
        <v>1</v>
      </c>
      <c r="H160">
        <v>3</v>
      </c>
      <c r="I160" t="s">
        <v>70</v>
      </c>
      <c r="J160" t="s">
        <v>72</v>
      </c>
      <c r="K160" t="s">
        <v>71</v>
      </c>
      <c r="L160">
        <v>1348</v>
      </c>
      <c r="N160">
        <v>1009</v>
      </c>
      <c r="O160" t="s">
        <v>41</v>
      </c>
      <c r="P160" t="s">
        <v>41</v>
      </c>
      <c r="Q160">
        <v>1000</v>
      </c>
      <c r="X160">
        <v>0.02</v>
      </c>
      <c r="Y160">
        <v>7712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0.02</v>
      </c>
      <c r="AH160">
        <v>2</v>
      </c>
      <c r="AI160">
        <v>55657470</v>
      </c>
      <c r="AJ160">
        <v>147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ROW(Source!A74)</f>
        <v>74</v>
      </c>
      <c r="B161">
        <v>55657471</v>
      </c>
      <c r="C161">
        <v>55657460</v>
      </c>
      <c r="D161">
        <v>53661716</v>
      </c>
      <c r="E161">
        <v>1</v>
      </c>
      <c r="F161">
        <v>1</v>
      </c>
      <c r="G161">
        <v>1</v>
      </c>
      <c r="H161">
        <v>3</v>
      </c>
      <c r="I161" t="s">
        <v>74</v>
      </c>
      <c r="J161" t="s">
        <v>77</v>
      </c>
      <c r="K161" t="s">
        <v>75</v>
      </c>
      <c r="L161">
        <v>1302</v>
      </c>
      <c r="N161">
        <v>1003</v>
      </c>
      <c r="O161" t="s">
        <v>76</v>
      </c>
      <c r="P161" t="s">
        <v>76</v>
      </c>
      <c r="Q161">
        <v>10</v>
      </c>
      <c r="X161">
        <v>0.2</v>
      </c>
      <c r="Y161">
        <v>50.24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0.2</v>
      </c>
      <c r="AH161">
        <v>2</v>
      </c>
      <c r="AI161">
        <v>55657471</v>
      </c>
      <c r="AJ161">
        <v>148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ROW(Source!A74)</f>
        <v>74</v>
      </c>
      <c r="B162">
        <v>55657472</v>
      </c>
      <c r="C162">
        <v>55657460</v>
      </c>
      <c r="D162">
        <v>53632492</v>
      </c>
      <c r="E162">
        <v>70</v>
      </c>
      <c r="F162">
        <v>1</v>
      </c>
      <c r="G162">
        <v>1</v>
      </c>
      <c r="H162">
        <v>3</v>
      </c>
      <c r="I162" t="s">
        <v>455</v>
      </c>
      <c r="K162" t="s">
        <v>456</v>
      </c>
      <c r="L162">
        <v>1348</v>
      </c>
      <c r="N162">
        <v>1009</v>
      </c>
      <c r="O162" t="s">
        <v>41</v>
      </c>
      <c r="P162" t="s">
        <v>41</v>
      </c>
      <c r="Q162">
        <v>1000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0</v>
      </c>
      <c r="AG162">
        <v>0</v>
      </c>
      <c r="AH162">
        <v>3</v>
      </c>
      <c r="AI162">
        <v>-1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ROW(Source!A74)</f>
        <v>74</v>
      </c>
      <c r="B163">
        <v>55657473</v>
      </c>
      <c r="C163">
        <v>55657460</v>
      </c>
      <c r="D163">
        <v>53666055</v>
      </c>
      <c r="E163">
        <v>1</v>
      </c>
      <c r="F163">
        <v>1</v>
      </c>
      <c r="G163">
        <v>1</v>
      </c>
      <c r="H163">
        <v>3</v>
      </c>
      <c r="I163" t="s">
        <v>87</v>
      </c>
      <c r="J163" t="s">
        <v>89</v>
      </c>
      <c r="K163" t="s">
        <v>88</v>
      </c>
      <c r="L163">
        <v>1339</v>
      </c>
      <c r="N163">
        <v>1007</v>
      </c>
      <c r="O163" t="s">
        <v>46</v>
      </c>
      <c r="P163" t="s">
        <v>46</v>
      </c>
      <c r="Q163">
        <v>1</v>
      </c>
      <c r="X163">
        <v>0.04</v>
      </c>
      <c r="Y163">
        <v>1700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0.04</v>
      </c>
      <c r="AH163">
        <v>2</v>
      </c>
      <c r="AI163">
        <v>55657473</v>
      </c>
      <c r="AJ163">
        <v>149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ROW(Source!A75)</f>
        <v>75</v>
      </c>
      <c r="B164">
        <v>55657461</v>
      </c>
      <c r="C164">
        <v>55657460</v>
      </c>
      <c r="D164">
        <v>53630123</v>
      </c>
      <c r="E164">
        <v>70</v>
      </c>
      <c r="F164">
        <v>1</v>
      </c>
      <c r="G164">
        <v>1</v>
      </c>
      <c r="H164">
        <v>1</v>
      </c>
      <c r="I164" t="s">
        <v>356</v>
      </c>
      <c r="K164" t="s">
        <v>357</v>
      </c>
      <c r="L164">
        <v>1191</v>
      </c>
      <c r="N164">
        <v>1013</v>
      </c>
      <c r="O164" t="s">
        <v>358</v>
      </c>
      <c r="P164" t="s">
        <v>358</v>
      </c>
      <c r="Q164">
        <v>1</v>
      </c>
      <c r="X164">
        <v>298</v>
      </c>
      <c r="Y164">
        <v>0</v>
      </c>
      <c r="Z164">
        <v>0</v>
      </c>
      <c r="AA164">
        <v>0</v>
      </c>
      <c r="AB164">
        <v>10.06</v>
      </c>
      <c r="AC164">
        <v>0</v>
      </c>
      <c r="AD164">
        <v>1</v>
      </c>
      <c r="AE164">
        <v>1</v>
      </c>
      <c r="AF164" t="s">
        <v>118</v>
      </c>
      <c r="AG164">
        <v>342.7</v>
      </c>
      <c r="AH164">
        <v>2</v>
      </c>
      <c r="AI164">
        <v>55657461</v>
      </c>
      <c r="AJ164">
        <v>152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ROW(Source!A75)</f>
        <v>75</v>
      </c>
      <c r="B165">
        <v>55657462</v>
      </c>
      <c r="C165">
        <v>55657460</v>
      </c>
      <c r="D165">
        <v>53630257</v>
      </c>
      <c r="E165">
        <v>70</v>
      </c>
      <c r="F165">
        <v>1</v>
      </c>
      <c r="G165">
        <v>1</v>
      </c>
      <c r="H165">
        <v>1</v>
      </c>
      <c r="I165" t="s">
        <v>359</v>
      </c>
      <c r="K165" t="s">
        <v>360</v>
      </c>
      <c r="L165">
        <v>1191</v>
      </c>
      <c r="N165">
        <v>1013</v>
      </c>
      <c r="O165" t="s">
        <v>358</v>
      </c>
      <c r="P165" t="s">
        <v>358</v>
      </c>
      <c r="Q165">
        <v>1</v>
      </c>
      <c r="X165">
        <v>2.48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2</v>
      </c>
      <c r="AF165" t="s">
        <v>117</v>
      </c>
      <c r="AG165">
        <v>3.1</v>
      </c>
      <c r="AH165">
        <v>2</v>
      </c>
      <c r="AI165">
        <v>55657462</v>
      </c>
      <c r="AJ165">
        <v>153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ROW(Source!A75)</f>
        <v>75</v>
      </c>
      <c r="B166">
        <v>55657463</v>
      </c>
      <c r="C166">
        <v>55657460</v>
      </c>
      <c r="D166">
        <v>53791997</v>
      </c>
      <c r="E166">
        <v>1</v>
      </c>
      <c r="F166">
        <v>1</v>
      </c>
      <c r="G166">
        <v>1</v>
      </c>
      <c r="H166">
        <v>2</v>
      </c>
      <c r="I166" t="s">
        <v>361</v>
      </c>
      <c r="J166" t="s">
        <v>362</v>
      </c>
      <c r="K166" t="s">
        <v>363</v>
      </c>
      <c r="L166">
        <v>1367</v>
      </c>
      <c r="N166">
        <v>1011</v>
      </c>
      <c r="O166" t="s">
        <v>364</v>
      </c>
      <c r="P166" t="s">
        <v>364</v>
      </c>
      <c r="Q166">
        <v>1</v>
      </c>
      <c r="X166">
        <v>2.2</v>
      </c>
      <c r="Y166">
        <v>0</v>
      </c>
      <c r="Z166">
        <v>115.4</v>
      </c>
      <c r="AA166">
        <v>13.5</v>
      </c>
      <c r="AB166">
        <v>0</v>
      </c>
      <c r="AC166">
        <v>0</v>
      </c>
      <c r="AD166">
        <v>1</v>
      </c>
      <c r="AE166">
        <v>0</v>
      </c>
      <c r="AF166" t="s">
        <v>117</v>
      </c>
      <c r="AG166">
        <v>2.75</v>
      </c>
      <c r="AH166">
        <v>2</v>
      </c>
      <c r="AI166">
        <v>55657463</v>
      </c>
      <c r="AJ166">
        <v>154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ROW(Source!A75)</f>
        <v>75</v>
      </c>
      <c r="B167">
        <v>55657464</v>
      </c>
      <c r="C167">
        <v>55657460</v>
      </c>
      <c r="D167">
        <v>53792134</v>
      </c>
      <c r="E167">
        <v>1</v>
      </c>
      <c r="F167">
        <v>1</v>
      </c>
      <c r="G167">
        <v>1</v>
      </c>
      <c r="H167">
        <v>2</v>
      </c>
      <c r="I167" t="s">
        <v>365</v>
      </c>
      <c r="J167" t="s">
        <v>366</v>
      </c>
      <c r="K167" t="s">
        <v>367</v>
      </c>
      <c r="L167">
        <v>1367</v>
      </c>
      <c r="N167">
        <v>1011</v>
      </c>
      <c r="O167" t="s">
        <v>364</v>
      </c>
      <c r="P167" t="s">
        <v>364</v>
      </c>
      <c r="Q167">
        <v>1</v>
      </c>
      <c r="X167">
        <v>43.9</v>
      </c>
      <c r="Y167">
        <v>0</v>
      </c>
      <c r="Z167">
        <v>6.9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117</v>
      </c>
      <c r="AG167">
        <v>54.875</v>
      </c>
      <c r="AH167">
        <v>2</v>
      </c>
      <c r="AI167">
        <v>55657464</v>
      </c>
      <c r="AJ167">
        <v>155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ROW(Source!A75)</f>
        <v>75</v>
      </c>
      <c r="B168">
        <v>55657465</v>
      </c>
      <c r="C168">
        <v>55657460</v>
      </c>
      <c r="D168">
        <v>53792927</v>
      </c>
      <c r="E168">
        <v>1</v>
      </c>
      <c r="F168">
        <v>1</v>
      </c>
      <c r="G168">
        <v>1</v>
      </c>
      <c r="H168">
        <v>2</v>
      </c>
      <c r="I168" t="s">
        <v>368</v>
      </c>
      <c r="J168" t="s">
        <v>369</v>
      </c>
      <c r="K168" t="s">
        <v>370</v>
      </c>
      <c r="L168">
        <v>1367</v>
      </c>
      <c r="N168">
        <v>1011</v>
      </c>
      <c r="O168" t="s">
        <v>364</v>
      </c>
      <c r="P168" t="s">
        <v>364</v>
      </c>
      <c r="Q168">
        <v>1</v>
      </c>
      <c r="X168">
        <v>0.28</v>
      </c>
      <c r="Y168">
        <v>0</v>
      </c>
      <c r="Z168">
        <v>65.71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117</v>
      </c>
      <c r="AG168">
        <v>0.35000000000000003</v>
      </c>
      <c r="AH168">
        <v>2</v>
      </c>
      <c r="AI168">
        <v>55657465</v>
      </c>
      <c r="AJ168">
        <v>156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ROW(Source!A75)</f>
        <v>75</v>
      </c>
      <c r="B169">
        <v>55657466</v>
      </c>
      <c r="C169">
        <v>55657460</v>
      </c>
      <c r="D169">
        <v>53645866</v>
      </c>
      <c r="E169">
        <v>1</v>
      </c>
      <c r="F169">
        <v>1</v>
      </c>
      <c r="G169">
        <v>1</v>
      </c>
      <c r="H169">
        <v>3</v>
      </c>
      <c r="I169" t="s">
        <v>446</v>
      </c>
      <c r="J169" t="s">
        <v>447</v>
      </c>
      <c r="K169" t="s">
        <v>448</v>
      </c>
      <c r="L169">
        <v>1346</v>
      </c>
      <c r="N169">
        <v>1009</v>
      </c>
      <c r="O169" t="s">
        <v>51</v>
      </c>
      <c r="P169" t="s">
        <v>51</v>
      </c>
      <c r="Q169">
        <v>1</v>
      </c>
      <c r="X169">
        <v>0</v>
      </c>
      <c r="Y169">
        <v>28.26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G169">
        <v>0</v>
      </c>
      <c r="AH169">
        <v>3</v>
      </c>
      <c r="AI169">
        <v>-1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ROW(Source!A75)</f>
        <v>75</v>
      </c>
      <c r="B170">
        <v>55657467</v>
      </c>
      <c r="C170">
        <v>55657460</v>
      </c>
      <c r="D170">
        <v>53646035</v>
      </c>
      <c r="E170">
        <v>1</v>
      </c>
      <c r="F170">
        <v>1</v>
      </c>
      <c r="G170">
        <v>1</v>
      </c>
      <c r="H170">
        <v>3</v>
      </c>
      <c r="I170" t="s">
        <v>66</v>
      </c>
      <c r="J170" t="s">
        <v>68</v>
      </c>
      <c r="K170" t="s">
        <v>67</v>
      </c>
      <c r="L170">
        <v>1348</v>
      </c>
      <c r="N170">
        <v>1009</v>
      </c>
      <c r="O170" t="s">
        <v>41</v>
      </c>
      <c r="P170" t="s">
        <v>41</v>
      </c>
      <c r="Q170">
        <v>1000</v>
      </c>
      <c r="X170">
        <v>0.00115</v>
      </c>
      <c r="Y170">
        <v>37900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0.00115</v>
      </c>
      <c r="AH170">
        <v>2</v>
      </c>
      <c r="AI170">
        <v>55657467</v>
      </c>
      <c r="AJ170">
        <v>157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ROW(Source!A75)</f>
        <v>75</v>
      </c>
      <c r="B171">
        <v>55657468</v>
      </c>
      <c r="C171">
        <v>55657460</v>
      </c>
      <c r="D171">
        <v>53646160</v>
      </c>
      <c r="E171">
        <v>1</v>
      </c>
      <c r="F171">
        <v>1</v>
      </c>
      <c r="G171">
        <v>1</v>
      </c>
      <c r="H171">
        <v>3</v>
      </c>
      <c r="I171" t="s">
        <v>449</v>
      </c>
      <c r="J171" t="s">
        <v>450</v>
      </c>
      <c r="K171" t="s">
        <v>451</v>
      </c>
      <c r="L171">
        <v>1327</v>
      </c>
      <c r="N171">
        <v>1005</v>
      </c>
      <c r="O171" t="s">
        <v>146</v>
      </c>
      <c r="P171" t="s">
        <v>146</v>
      </c>
      <c r="Q171">
        <v>1</v>
      </c>
      <c r="X171">
        <v>0</v>
      </c>
      <c r="Y171">
        <v>52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G171">
        <v>0</v>
      </c>
      <c r="AH171">
        <v>3</v>
      </c>
      <c r="AI171">
        <v>-1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ROW(Source!A75)</f>
        <v>75</v>
      </c>
      <c r="B172">
        <v>55657469</v>
      </c>
      <c r="C172">
        <v>55657460</v>
      </c>
      <c r="D172">
        <v>53646246</v>
      </c>
      <c r="E172">
        <v>1</v>
      </c>
      <c r="F172">
        <v>1</v>
      </c>
      <c r="G172">
        <v>1</v>
      </c>
      <c r="H172">
        <v>3</v>
      </c>
      <c r="I172" t="s">
        <v>452</v>
      </c>
      <c r="J172" t="s">
        <v>453</v>
      </c>
      <c r="K172" t="s">
        <v>454</v>
      </c>
      <c r="L172">
        <v>1327</v>
      </c>
      <c r="N172">
        <v>1005</v>
      </c>
      <c r="O172" t="s">
        <v>146</v>
      </c>
      <c r="P172" t="s">
        <v>146</v>
      </c>
      <c r="Q172">
        <v>1</v>
      </c>
      <c r="X172">
        <v>0</v>
      </c>
      <c r="Y172">
        <v>350</v>
      </c>
      <c r="Z172">
        <v>0</v>
      </c>
      <c r="AA172">
        <v>0</v>
      </c>
      <c r="AB172">
        <v>0</v>
      </c>
      <c r="AC172">
        <v>1</v>
      </c>
      <c r="AD172">
        <v>0</v>
      </c>
      <c r="AE172">
        <v>0</v>
      </c>
      <c r="AG172">
        <v>0</v>
      </c>
      <c r="AH172">
        <v>3</v>
      </c>
      <c r="AI172">
        <v>-1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ROW(Source!A75)</f>
        <v>75</v>
      </c>
      <c r="B173">
        <v>55657470</v>
      </c>
      <c r="C173">
        <v>55657460</v>
      </c>
      <c r="D173">
        <v>53659617</v>
      </c>
      <c r="E173">
        <v>1</v>
      </c>
      <c r="F173">
        <v>1</v>
      </c>
      <c r="G173">
        <v>1</v>
      </c>
      <c r="H173">
        <v>3</v>
      </c>
      <c r="I173" t="s">
        <v>70</v>
      </c>
      <c r="J173" t="s">
        <v>72</v>
      </c>
      <c r="K173" t="s">
        <v>71</v>
      </c>
      <c r="L173">
        <v>1348</v>
      </c>
      <c r="N173">
        <v>1009</v>
      </c>
      <c r="O173" t="s">
        <v>41</v>
      </c>
      <c r="P173" t="s">
        <v>41</v>
      </c>
      <c r="Q173">
        <v>1000</v>
      </c>
      <c r="X173">
        <v>0.02</v>
      </c>
      <c r="Y173">
        <v>7712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0.02</v>
      </c>
      <c r="AH173">
        <v>2</v>
      </c>
      <c r="AI173">
        <v>55657470</v>
      </c>
      <c r="AJ173">
        <v>158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ROW(Source!A75)</f>
        <v>75</v>
      </c>
      <c r="B174">
        <v>55657471</v>
      </c>
      <c r="C174">
        <v>55657460</v>
      </c>
      <c r="D174">
        <v>53661716</v>
      </c>
      <c r="E174">
        <v>1</v>
      </c>
      <c r="F174">
        <v>1</v>
      </c>
      <c r="G174">
        <v>1</v>
      </c>
      <c r="H174">
        <v>3</v>
      </c>
      <c r="I174" t="s">
        <v>74</v>
      </c>
      <c r="J174" t="s">
        <v>77</v>
      </c>
      <c r="K174" t="s">
        <v>75</v>
      </c>
      <c r="L174">
        <v>1302</v>
      </c>
      <c r="N174">
        <v>1003</v>
      </c>
      <c r="O174" t="s">
        <v>76</v>
      </c>
      <c r="P174" t="s">
        <v>76</v>
      </c>
      <c r="Q174">
        <v>10</v>
      </c>
      <c r="X174">
        <v>0.2</v>
      </c>
      <c r="Y174">
        <v>50.24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0.2</v>
      </c>
      <c r="AH174">
        <v>2</v>
      </c>
      <c r="AI174">
        <v>55657471</v>
      </c>
      <c r="AJ174">
        <v>159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ROW(Source!A75)</f>
        <v>75</v>
      </c>
      <c r="B175">
        <v>55657472</v>
      </c>
      <c r="C175">
        <v>55657460</v>
      </c>
      <c r="D175">
        <v>53632492</v>
      </c>
      <c r="E175">
        <v>70</v>
      </c>
      <c r="F175">
        <v>1</v>
      </c>
      <c r="G175">
        <v>1</v>
      </c>
      <c r="H175">
        <v>3</v>
      </c>
      <c r="I175" t="s">
        <v>455</v>
      </c>
      <c r="K175" t="s">
        <v>456</v>
      </c>
      <c r="L175">
        <v>1348</v>
      </c>
      <c r="N175">
        <v>1009</v>
      </c>
      <c r="O175" t="s">
        <v>41</v>
      </c>
      <c r="P175" t="s">
        <v>41</v>
      </c>
      <c r="Q175">
        <v>1000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</v>
      </c>
      <c r="AD175">
        <v>0</v>
      </c>
      <c r="AE175">
        <v>0</v>
      </c>
      <c r="AG175">
        <v>0</v>
      </c>
      <c r="AH175">
        <v>3</v>
      </c>
      <c r="AI175">
        <v>-1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ROW(Source!A75)</f>
        <v>75</v>
      </c>
      <c r="B176">
        <v>55657473</v>
      </c>
      <c r="C176">
        <v>55657460</v>
      </c>
      <c r="D176">
        <v>53666055</v>
      </c>
      <c r="E176">
        <v>1</v>
      </c>
      <c r="F176">
        <v>1</v>
      </c>
      <c r="G176">
        <v>1</v>
      </c>
      <c r="H176">
        <v>3</v>
      </c>
      <c r="I176" t="s">
        <v>87</v>
      </c>
      <c r="J176" t="s">
        <v>89</v>
      </c>
      <c r="K176" t="s">
        <v>88</v>
      </c>
      <c r="L176">
        <v>1339</v>
      </c>
      <c r="N176">
        <v>1007</v>
      </c>
      <c r="O176" t="s">
        <v>46</v>
      </c>
      <c r="P176" t="s">
        <v>46</v>
      </c>
      <c r="Q176">
        <v>1</v>
      </c>
      <c r="X176">
        <v>0.04</v>
      </c>
      <c r="Y176">
        <v>1700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0.04</v>
      </c>
      <c r="AH176">
        <v>2</v>
      </c>
      <c r="AI176">
        <v>55657473</v>
      </c>
      <c r="AJ176">
        <v>160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ROW(Source!A80)</f>
        <v>80</v>
      </c>
      <c r="B177">
        <v>55658847</v>
      </c>
      <c r="C177">
        <v>55658846</v>
      </c>
      <c r="D177">
        <v>53630083</v>
      </c>
      <c r="E177">
        <v>70</v>
      </c>
      <c r="F177">
        <v>1</v>
      </c>
      <c r="G177">
        <v>1</v>
      </c>
      <c r="H177">
        <v>1</v>
      </c>
      <c r="I177" t="s">
        <v>395</v>
      </c>
      <c r="K177" t="s">
        <v>396</v>
      </c>
      <c r="L177">
        <v>1191</v>
      </c>
      <c r="N177">
        <v>1013</v>
      </c>
      <c r="O177" t="s">
        <v>358</v>
      </c>
      <c r="P177" t="s">
        <v>358</v>
      </c>
      <c r="Q177">
        <v>1</v>
      </c>
      <c r="X177">
        <v>33.1</v>
      </c>
      <c r="Y177">
        <v>0</v>
      </c>
      <c r="Z177">
        <v>0</v>
      </c>
      <c r="AA177">
        <v>0</v>
      </c>
      <c r="AB177">
        <v>9.07</v>
      </c>
      <c r="AC177">
        <v>0</v>
      </c>
      <c r="AD177">
        <v>1</v>
      </c>
      <c r="AE177">
        <v>1</v>
      </c>
      <c r="AF177" t="s">
        <v>118</v>
      </c>
      <c r="AG177">
        <v>38.065</v>
      </c>
      <c r="AH177">
        <v>2</v>
      </c>
      <c r="AI177">
        <v>55658847</v>
      </c>
      <c r="AJ177">
        <v>163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ROW(Source!A80)</f>
        <v>80</v>
      </c>
      <c r="B178">
        <v>55658848</v>
      </c>
      <c r="C178">
        <v>55658846</v>
      </c>
      <c r="D178">
        <v>53644879</v>
      </c>
      <c r="E178">
        <v>1</v>
      </c>
      <c r="F178">
        <v>1</v>
      </c>
      <c r="G178">
        <v>1</v>
      </c>
      <c r="H178">
        <v>3</v>
      </c>
      <c r="I178" t="s">
        <v>397</v>
      </c>
      <c r="J178" t="s">
        <v>398</v>
      </c>
      <c r="K178" t="s">
        <v>399</v>
      </c>
      <c r="L178">
        <v>1348</v>
      </c>
      <c r="N178">
        <v>1009</v>
      </c>
      <c r="O178" t="s">
        <v>41</v>
      </c>
      <c r="P178" t="s">
        <v>41</v>
      </c>
      <c r="Q178">
        <v>1000</v>
      </c>
      <c r="X178">
        <v>0.006</v>
      </c>
      <c r="Y178">
        <v>22954.57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0.006</v>
      </c>
      <c r="AH178">
        <v>2</v>
      </c>
      <c r="AI178">
        <v>55658848</v>
      </c>
      <c r="AJ178">
        <v>164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ROW(Source!A80)</f>
        <v>80</v>
      </c>
      <c r="B179">
        <v>55658849</v>
      </c>
      <c r="C179">
        <v>55658846</v>
      </c>
      <c r="D179">
        <v>53632503</v>
      </c>
      <c r="E179">
        <v>70</v>
      </c>
      <c r="F179">
        <v>1</v>
      </c>
      <c r="G179">
        <v>1</v>
      </c>
      <c r="H179">
        <v>3</v>
      </c>
      <c r="I179" t="s">
        <v>462</v>
      </c>
      <c r="K179" t="s">
        <v>463</v>
      </c>
      <c r="L179">
        <v>1348</v>
      </c>
      <c r="N179">
        <v>1009</v>
      </c>
      <c r="O179" t="s">
        <v>41</v>
      </c>
      <c r="P179" t="s">
        <v>41</v>
      </c>
      <c r="Q179">
        <v>1000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G179">
        <v>0</v>
      </c>
      <c r="AH179">
        <v>3</v>
      </c>
      <c r="AI179">
        <v>-1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ROW(Source!A81)</f>
        <v>81</v>
      </c>
      <c r="B180">
        <v>55658847</v>
      </c>
      <c r="C180">
        <v>55658846</v>
      </c>
      <c r="D180">
        <v>53630083</v>
      </c>
      <c r="E180">
        <v>70</v>
      </c>
      <c r="F180">
        <v>1</v>
      </c>
      <c r="G180">
        <v>1</v>
      </c>
      <c r="H180">
        <v>1</v>
      </c>
      <c r="I180" t="s">
        <v>395</v>
      </c>
      <c r="K180" t="s">
        <v>396</v>
      </c>
      <c r="L180">
        <v>1191</v>
      </c>
      <c r="N180">
        <v>1013</v>
      </c>
      <c r="O180" t="s">
        <v>358</v>
      </c>
      <c r="P180" t="s">
        <v>358</v>
      </c>
      <c r="Q180">
        <v>1</v>
      </c>
      <c r="X180">
        <v>33.1</v>
      </c>
      <c r="Y180">
        <v>0</v>
      </c>
      <c r="Z180">
        <v>0</v>
      </c>
      <c r="AA180">
        <v>0</v>
      </c>
      <c r="AB180">
        <v>9.07</v>
      </c>
      <c r="AC180">
        <v>0</v>
      </c>
      <c r="AD180">
        <v>1</v>
      </c>
      <c r="AE180">
        <v>1</v>
      </c>
      <c r="AF180" t="s">
        <v>118</v>
      </c>
      <c r="AG180">
        <v>38.065</v>
      </c>
      <c r="AH180">
        <v>2</v>
      </c>
      <c r="AI180">
        <v>55658847</v>
      </c>
      <c r="AJ180">
        <v>166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ROW(Source!A81)</f>
        <v>81</v>
      </c>
      <c r="B181">
        <v>55658848</v>
      </c>
      <c r="C181">
        <v>55658846</v>
      </c>
      <c r="D181">
        <v>53644879</v>
      </c>
      <c r="E181">
        <v>1</v>
      </c>
      <c r="F181">
        <v>1</v>
      </c>
      <c r="G181">
        <v>1</v>
      </c>
      <c r="H181">
        <v>3</v>
      </c>
      <c r="I181" t="s">
        <v>397</v>
      </c>
      <c r="J181" t="s">
        <v>398</v>
      </c>
      <c r="K181" t="s">
        <v>399</v>
      </c>
      <c r="L181">
        <v>1348</v>
      </c>
      <c r="N181">
        <v>1009</v>
      </c>
      <c r="O181" t="s">
        <v>41</v>
      </c>
      <c r="P181" t="s">
        <v>41</v>
      </c>
      <c r="Q181">
        <v>1000</v>
      </c>
      <c r="X181">
        <v>0.006</v>
      </c>
      <c r="Y181">
        <v>22954.57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0.006</v>
      </c>
      <c r="AH181">
        <v>2</v>
      </c>
      <c r="AI181">
        <v>55658848</v>
      </c>
      <c r="AJ181">
        <v>167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ROW(Source!A81)</f>
        <v>81</v>
      </c>
      <c r="B182">
        <v>55658849</v>
      </c>
      <c r="C182">
        <v>55658846</v>
      </c>
      <c r="D182">
        <v>53632503</v>
      </c>
      <c r="E182">
        <v>70</v>
      </c>
      <c r="F182">
        <v>1</v>
      </c>
      <c r="G182">
        <v>1</v>
      </c>
      <c r="H182">
        <v>3</v>
      </c>
      <c r="I182" t="s">
        <v>462</v>
      </c>
      <c r="K182" t="s">
        <v>463</v>
      </c>
      <c r="L182">
        <v>1348</v>
      </c>
      <c r="N182">
        <v>1009</v>
      </c>
      <c r="O182" t="s">
        <v>41</v>
      </c>
      <c r="P182" t="s">
        <v>41</v>
      </c>
      <c r="Q182">
        <v>1000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0</v>
      </c>
      <c r="AE182">
        <v>0</v>
      </c>
      <c r="AG182">
        <v>0</v>
      </c>
      <c r="AH182">
        <v>3</v>
      </c>
      <c r="AI182">
        <v>-1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ROW(Source!A84)</f>
        <v>84</v>
      </c>
      <c r="B183">
        <v>55659014</v>
      </c>
      <c r="C183">
        <v>55659013</v>
      </c>
      <c r="D183">
        <v>53630075</v>
      </c>
      <c r="E183">
        <v>70</v>
      </c>
      <c r="F183">
        <v>1</v>
      </c>
      <c r="G183">
        <v>1</v>
      </c>
      <c r="H183">
        <v>1</v>
      </c>
      <c r="I183" t="s">
        <v>400</v>
      </c>
      <c r="K183" t="s">
        <v>401</v>
      </c>
      <c r="L183">
        <v>1191</v>
      </c>
      <c r="N183">
        <v>1013</v>
      </c>
      <c r="O183" t="s">
        <v>358</v>
      </c>
      <c r="P183" t="s">
        <v>358</v>
      </c>
      <c r="Q183">
        <v>1</v>
      </c>
      <c r="X183">
        <v>11.58</v>
      </c>
      <c r="Y183">
        <v>0</v>
      </c>
      <c r="Z183">
        <v>0</v>
      </c>
      <c r="AA183">
        <v>0</v>
      </c>
      <c r="AB183">
        <v>8.97</v>
      </c>
      <c r="AC183">
        <v>0</v>
      </c>
      <c r="AD183">
        <v>1</v>
      </c>
      <c r="AE183">
        <v>1</v>
      </c>
      <c r="AG183">
        <v>11.58</v>
      </c>
      <c r="AH183">
        <v>2</v>
      </c>
      <c r="AI183">
        <v>55659014</v>
      </c>
      <c r="AJ183">
        <v>169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ROW(Source!A84)</f>
        <v>84</v>
      </c>
      <c r="B184">
        <v>55659015</v>
      </c>
      <c r="C184">
        <v>55659013</v>
      </c>
      <c r="D184">
        <v>53630257</v>
      </c>
      <c r="E184">
        <v>70</v>
      </c>
      <c r="F184">
        <v>1</v>
      </c>
      <c r="G184">
        <v>1</v>
      </c>
      <c r="H184">
        <v>1</v>
      </c>
      <c r="I184" t="s">
        <v>359</v>
      </c>
      <c r="K184" t="s">
        <v>360</v>
      </c>
      <c r="L184">
        <v>1191</v>
      </c>
      <c r="N184">
        <v>1013</v>
      </c>
      <c r="O184" t="s">
        <v>358</v>
      </c>
      <c r="P184" t="s">
        <v>358</v>
      </c>
      <c r="Q184">
        <v>1</v>
      </c>
      <c r="X184">
        <v>0.03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2</v>
      </c>
      <c r="AG184">
        <v>0.03</v>
      </c>
      <c r="AH184">
        <v>2</v>
      </c>
      <c r="AI184">
        <v>55659015</v>
      </c>
      <c r="AJ184">
        <v>170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ROW(Source!A84)</f>
        <v>84</v>
      </c>
      <c r="B185">
        <v>55659016</v>
      </c>
      <c r="C185">
        <v>55659013</v>
      </c>
      <c r="D185">
        <v>53792062</v>
      </c>
      <c r="E185">
        <v>1</v>
      </c>
      <c r="F185">
        <v>1</v>
      </c>
      <c r="G185">
        <v>1</v>
      </c>
      <c r="H185">
        <v>2</v>
      </c>
      <c r="I185" t="s">
        <v>402</v>
      </c>
      <c r="J185" t="s">
        <v>403</v>
      </c>
      <c r="K185" t="s">
        <v>404</v>
      </c>
      <c r="L185">
        <v>1367</v>
      </c>
      <c r="N185">
        <v>1011</v>
      </c>
      <c r="O185" t="s">
        <v>364</v>
      </c>
      <c r="P185" t="s">
        <v>364</v>
      </c>
      <c r="Q185">
        <v>1</v>
      </c>
      <c r="X185">
        <v>0.03</v>
      </c>
      <c r="Y185">
        <v>0</v>
      </c>
      <c r="Z185">
        <v>112.36</v>
      </c>
      <c r="AA185">
        <v>11.6</v>
      </c>
      <c r="AB185">
        <v>0</v>
      </c>
      <c r="AC185">
        <v>0</v>
      </c>
      <c r="AD185">
        <v>1</v>
      </c>
      <c r="AE185">
        <v>0</v>
      </c>
      <c r="AG185">
        <v>0.03</v>
      </c>
      <c r="AH185">
        <v>2</v>
      </c>
      <c r="AI185">
        <v>55659016</v>
      </c>
      <c r="AJ185">
        <v>171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ROW(Source!A84)</f>
        <v>84</v>
      </c>
      <c r="B186">
        <v>55659017</v>
      </c>
      <c r="C186">
        <v>55659013</v>
      </c>
      <c r="D186">
        <v>53642567</v>
      </c>
      <c r="E186">
        <v>1</v>
      </c>
      <c r="F186">
        <v>1</v>
      </c>
      <c r="G186">
        <v>1</v>
      </c>
      <c r="H186">
        <v>3</v>
      </c>
      <c r="I186" t="s">
        <v>405</v>
      </c>
      <c r="J186" t="s">
        <v>406</v>
      </c>
      <c r="K186" t="s">
        <v>407</v>
      </c>
      <c r="L186">
        <v>1383</v>
      </c>
      <c r="N186">
        <v>1013</v>
      </c>
      <c r="O186" t="s">
        <v>408</v>
      </c>
      <c r="P186" t="s">
        <v>408</v>
      </c>
      <c r="Q186">
        <v>1</v>
      </c>
      <c r="X186">
        <v>0.69</v>
      </c>
      <c r="Y186">
        <v>0.4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0.69</v>
      </c>
      <c r="AH186">
        <v>2</v>
      </c>
      <c r="AI186">
        <v>55659017</v>
      </c>
      <c r="AJ186">
        <v>172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ROW(Source!A84)</f>
        <v>84</v>
      </c>
      <c r="B187">
        <v>55659018</v>
      </c>
      <c r="C187">
        <v>55659013</v>
      </c>
      <c r="D187">
        <v>53634990</v>
      </c>
      <c r="E187">
        <v>70</v>
      </c>
      <c r="F187">
        <v>1</v>
      </c>
      <c r="G187">
        <v>1</v>
      </c>
      <c r="H187">
        <v>3</v>
      </c>
      <c r="I187" t="s">
        <v>409</v>
      </c>
      <c r="K187" t="s">
        <v>410</v>
      </c>
      <c r="L187">
        <v>1374</v>
      </c>
      <c r="N187">
        <v>1013</v>
      </c>
      <c r="O187" t="s">
        <v>411</v>
      </c>
      <c r="P187" t="s">
        <v>411</v>
      </c>
      <c r="Q187">
        <v>1</v>
      </c>
      <c r="X187">
        <v>2.08</v>
      </c>
      <c r="Y187">
        <v>1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2.08</v>
      </c>
      <c r="AH187">
        <v>2</v>
      </c>
      <c r="AI187">
        <v>55659018</v>
      </c>
      <c r="AJ187">
        <v>173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ROW(Source!A85)</f>
        <v>85</v>
      </c>
      <c r="B188">
        <v>55659014</v>
      </c>
      <c r="C188">
        <v>55659013</v>
      </c>
      <c r="D188">
        <v>53630075</v>
      </c>
      <c r="E188">
        <v>70</v>
      </c>
      <c r="F188">
        <v>1</v>
      </c>
      <c r="G188">
        <v>1</v>
      </c>
      <c r="H188">
        <v>1</v>
      </c>
      <c r="I188" t="s">
        <v>400</v>
      </c>
      <c r="K188" t="s">
        <v>401</v>
      </c>
      <c r="L188">
        <v>1191</v>
      </c>
      <c r="N188">
        <v>1013</v>
      </c>
      <c r="O188" t="s">
        <v>358</v>
      </c>
      <c r="P188" t="s">
        <v>358</v>
      </c>
      <c r="Q188">
        <v>1</v>
      </c>
      <c r="X188">
        <v>11.58</v>
      </c>
      <c r="Y188">
        <v>0</v>
      </c>
      <c r="Z188">
        <v>0</v>
      </c>
      <c r="AA188">
        <v>0</v>
      </c>
      <c r="AB188">
        <v>8.97</v>
      </c>
      <c r="AC188">
        <v>0</v>
      </c>
      <c r="AD188">
        <v>1</v>
      </c>
      <c r="AE188">
        <v>1</v>
      </c>
      <c r="AG188">
        <v>11.58</v>
      </c>
      <c r="AH188">
        <v>2</v>
      </c>
      <c r="AI188">
        <v>55659014</v>
      </c>
      <c r="AJ188">
        <v>176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ROW(Source!A85)</f>
        <v>85</v>
      </c>
      <c r="B189">
        <v>55659015</v>
      </c>
      <c r="C189">
        <v>55659013</v>
      </c>
      <c r="D189">
        <v>53630257</v>
      </c>
      <c r="E189">
        <v>70</v>
      </c>
      <c r="F189">
        <v>1</v>
      </c>
      <c r="G189">
        <v>1</v>
      </c>
      <c r="H189">
        <v>1</v>
      </c>
      <c r="I189" t="s">
        <v>359</v>
      </c>
      <c r="K189" t="s">
        <v>360</v>
      </c>
      <c r="L189">
        <v>1191</v>
      </c>
      <c r="N189">
        <v>1013</v>
      </c>
      <c r="O189" t="s">
        <v>358</v>
      </c>
      <c r="P189" t="s">
        <v>358</v>
      </c>
      <c r="Q189">
        <v>1</v>
      </c>
      <c r="X189">
        <v>0.03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2</v>
      </c>
      <c r="AG189">
        <v>0.03</v>
      </c>
      <c r="AH189">
        <v>2</v>
      </c>
      <c r="AI189">
        <v>55659015</v>
      </c>
      <c r="AJ189">
        <v>177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ROW(Source!A85)</f>
        <v>85</v>
      </c>
      <c r="B190">
        <v>55659016</v>
      </c>
      <c r="C190">
        <v>55659013</v>
      </c>
      <c r="D190">
        <v>53792062</v>
      </c>
      <c r="E190">
        <v>1</v>
      </c>
      <c r="F190">
        <v>1</v>
      </c>
      <c r="G190">
        <v>1</v>
      </c>
      <c r="H190">
        <v>2</v>
      </c>
      <c r="I190" t="s">
        <v>402</v>
      </c>
      <c r="J190" t="s">
        <v>403</v>
      </c>
      <c r="K190" t="s">
        <v>404</v>
      </c>
      <c r="L190">
        <v>1367</v>
      </c>
      <c r="N190">
        <v>1011</v>
      </c>
      <c r="O190" t="s">
        <v>364</v>
      </c>
      <c r="P190" t="s">
        <v>364</v>
      </c>
      <c r="Q190">
        <v>1</v>
      </c>
      <c r="X190">
        <v>0.03</v>
      </c>
      <c r="Y190">
        <v>0</v>
      </c>
      <c r="Z190">
        <v>112.36</v>
      </c>
      <c r="AA190">
        <v>11.6</v>
      </c>
      <c r="AB190">
        <v>0</v>
      </c>
      <c r="AC190">
        <v>0</v>
      </c>
      <c r="AD190">
        <v>1</v>
      </c>
      <c r="AE190">
        <v>0</v>
      </c>
      <c r="AG190">
        <v>0.03</v>
      </c>
      <c r="AH190">
        <v>2</v>
      </c>
      <c r="AI190">
        <v>55659016</v>
      </c>
      <c r="AJ190">
        <v>178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ROW(Source!A85)</f>
        <v>85</v>
      </c>
      <c r="B191">
        <v>55659017</v>
      </c>
      <c r="C191">
        <v>55659013</v>
      </c>
      <c r="D191">
        <v>53642567</v>
      </c>
      <c r="E191">
        <v>1</v>
      </c>
      <c r="F191">
        <v>1</v>
      </c>
      <c r="G191">
        <v>1</v>
      </c>
      <c r="H191">
        <v>3</v>
      </c>
      <c r="I191" t="s">
        <v>405</v>
      </c>
      <c r="J191" t="s">
        <v>406</v>
      </c>
      <c r="K191" t="s">
        <v>407</v>
      </c>
      <c r="L191">
        <v>1383</v>
      </c>
      <c r="N191">
        <v>1013</v>
      </c>
      <c r="O191" t="s">
        <v>408</v>
      </c>
      <c r="P191" t="s">
        <v>408</v>
      </c>
      <c r="Q191">
        <v>1</v>
      </c>
      <c r="X191">
        <v>0.69</v>
      </c>
      <c r="Y191">
        <v>0.4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0.69</v>
      </c>
      <c r="AH191">
        <v>2</v>
      </c>
      <c r="AI191">
        <v>55659017</v>
      </c>
      <c r="AJ191">
        <v>179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ROW(Source!A85)</f>
        <v>85</v>
      </c>
      <c r="B192">
        <v>55659018</v>
      </c>
      <c r="C192">
        <v>55659013</v>
      </c>
      <c r="D192">
        <v>53634990</v>
      </c>
      <c r="E192">
        <v>70</v>
      </c>
      <c r="F192">
        <v>1</v>
      </c>
      <c r="G192">
        <v>1</v>
      </c>
      <c r="H192">
        <v>3</v>
      </c>
      <c r="I192" t="s">
        <v>409</v>
      </c>
      <c r="K192" t="s">
        <v>410</v>
      </c>
      <c r="L192">
        <v>1374</v>
      </c>
      <c r="N192">
        <v>1013</v>
      </c>
      <c r="O192" t="s">
        <v>411</v>
      </c>
      <c r="P192" t="s">
        <v>411</v>
      </c>
      <c r="Q192">
        <v>1</v>
      </c>
      <c r="X192">
        <v>2.08</v>
      </c>
      <c r="Y192">
        <v>1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G192">
        <v>2.08</v>
      </c>
      <c r="AH192">
        <v>2</v>
      </c>
      <c r="AI192">
        <v>55659018</v>
      </c>
      <c r="AJ192">
        <v>180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ROW(Source!A90)</f>
        <v>90</v>
      </c>
      <c r="B193">
        <v>55658715</v>
      </c>
      <c r="C193">
        <v>55658714</v>
      </c>
      <c r="D193">
        <v>53630109</v>
      </c>
      <c r="E193">
        <v>70</v>
      </c>
      <c r="F193">
        <v>1</v>
      </c>
      <c r="G193">
        <v>1</v>
      </c>
      <c r="H193">
        <v>1</v>
      </c>
      <c r="I193" t="s">
        <v>387</v>
      </c>
      <c r="K193" t="s">
        <v>388</v>
      </c>
      <c r="L193">
        <v>1191</v>
      </c>
      <c r="N193">
        <v>1013</v>
      </c>
      <c r="O193" t="s">
        <v>358</v>
      </c>
      <c r="P193" t="s">
        <v>358</v>
      </c>
      <c r="Q193">
        <v>1</v>
      </c>
      <c r="X193">
        <v>3.28</v>
      </c>
      <c r="Y193">
        <v>0</v>
      </c>
      <c r="Z193">
        <v>0</v>
      </c>
      <c r="AA193">
        <v>0</v>
      </c>
      <c r="AB193">
        <v>9.62</v>
      </c>
      <c r="AC193">
        <v>0</v>
      </c>
      <c r="AD193">
        <v>1</v>
      </c>
      <c r="AE193">
        <v>1</v>
      </c>
      <c r="AG193">
        <v>3.28</v>
      </c>
      <c r="AH193">
        <v>2</v>
      </c>
      <c r="AI193">
        <v>55658715</v>
      </c>
      <c r="AJ193">
        <v>183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ROW(Source!A90)</f>
        <v>90</v>
      </c>
      <c r="B194">
        <v>55658716</v>
      </c>
      <c r="C194">
        <v>55658714</v>
      </c>
      <c r="D194">
        <v>53630257</v>
      </c>
      <c r="E194">
        <v>70</v>
      </c>
      <c r="F194">
        <v>1</v>
      </c>
      <c r="G194">
        <v>1</v>
      </c>
      <c r="H194">
        <v>1</v>
      </c>
      <c r="I194" t="s">
        <v>359</v>
      </c>
      <c r="K194" t="s">
        <v>360</v>
      </c>
      <c r="L194">
        <v>1191</v>
      </c>
      <c r="N194">
        <v>1013</v>
      </c>
      <c r="O194" t="s">
        <v>358</v>
      </c>
      <c r="P194" t="s">
        <v>358</v>
      </c>
      <c r="Q194">
        <v>1</v>
      </c>
      <c r="X194">
        <v>0.35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2</v>
      </c>
      <c r="AG194">
        <v>0.35</v>
      </c>
      <c r="AH194">
        <v>2</v>
      </c>
      <c r="AI194">
        <v>55658716</v>
      </c>
      <c r="AJ194">
        <v>184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ROW(Source!A90)</f>
        <v>90</v>
      </c>
      <c r="B195">
        <v>55658717</v>
      </c>
      <c r="C195">
        <v>55658714</v>
      </c>
      <c r="D195">
        <v>53792927</v>
      </c>
      <c r="E195">
        <v>1</v>
      </c>
      <c r="F195">
        <v>1</v>
      </c>
      <c r="G195">
        <v>1</v>
      </c>
      <c r="H195">
        <v>2</v>
      </c>
      <c r="I195" t="s">
        <v>368</v>
      </c>
      <c r="J195" t="s">
        <v>369</v>
      </c>
      <c r="K195" t="s">
        <v>370</v>
      </c>
      <c r="L195">
        <v>1367</v>
      </c>
      <c r="N195">
        <v>1011</v>
      </c>
      <c r="O195" t="s">
        <v>364</v>
      </c>
      <c r="P195" t="s">
        <v>364</v>
      </c>
      <c r="Q195">
        <v>1</v>
      </c>
      <c r="X195">
        <v>0.35</v>
      </c>
      <c r="Y195">
        <v>0</v>
      </c>
      <c r="Z195">
        <v>65.71</v>
      </c>
      <c r="AA195">
        <v>11.6</v>
      </c>
      <c r="AB195">
        <v>0</v>
      </c>
      <c r="AC195">
        <v>0</v>
      </c>
      <c r="AD195">
        <v>1</v>
      </c>
      <c r="AE195">
        <v>0</v>
      </c>
      <c r="AG195">
        <v>0.35</v>
      </c>
      <c r="AH195">
        <v>2</v>
      </c>
      <c r="AI195">
        <v>55658717</v>
      </c>
      <c r="AJ195">
        <v>185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ROW(Source!A90)</f>
        <v>90</v>
      </c>
      <c r="B196">
        <v>55658718</v>
      </c>
      <c r="C196">
        <v>55658714</v>
      </c>
      <c r="D196">
        <v>53793158</v>
      </c>
      <c r="E196">
        <v>1</v>
      </c>
      <c r="F196">
        <v>1</v>
      </c>
      <c r="G196">
        <v>1</v>
      </c>
      <c r="H196">
        <v>2</v>
      </c>
      <c r="I196" t="s">
        <v>412</v>
      </c>
      <c r="J196" t="s">
        <v>413</v>
      </c>
      <c r="K196" t="s">
        <v>414</v>
      </c>
      <c r="L196">
        <v>1367</v>
      </c>
      <c r="N196">
        <v>1011</v>
      </c>
      <c r="O196" t="s">
        <v>364</v>
      </c>
      <c r="P196" t="s">
        <v>364</v>
      </c>
      <c r="Q196">
        <v>1</v>
      </c>
      <c r="X196">
        <v>2.35</v>
      </c>
      <c r="Y196">
        <v>0</v>
      </c>
      <c r="Z196">
        <v>32.5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2.35</v>
      </c>
      <c r="AH196">
        <v>2</v>
      </c>
      <c r="AI196">
        <v>55658718</v>
      </c>
      <c r="AJ196">
        <v>186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ROW(Source!A90)</f>
        <v>90</v>
      </c>
      <c r="B197">
        <v>55658719</v>
      </c>
      <c r="C197">
        <v>55658714</v>
      </c>
      <c r="D197">
        <v>53630458</v>
      </c>
      <c r="E197">
        <v>70</v>
      </c>
      <c r="F197">
        <v>1</v>
      </c>
      <c r="G197">
        <v>1</v>
      </c>
      <c r="H197">
        <v>3</v>
      </c>
      <c r="I197" t="s">
        <v>464</v>
      </c>
      <c r="K197" t="s">
        <v>465</v>
      </c>
      <c r="L197">
        <v>1301</v>
      </c>
      <c r="N197">
        <v>1003</v>
      </c>
      <c r="O197" t="s">
        <v>158</v>
      </c>
      <c r="P197" t="s">
        <v>158</v>
      </c>
      <c r="Q197">
        <v>1</v>
      </c>
      <c r="X197">
        <v>101.8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G197">
        <v>101.8</v>
      </c>
      <c r="AH197">
        <v>3</v>
      </c>
      <c r="AI197">
        <v>-1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ROW(Source!A91)</f>
        <v>91</v>
      </c>
      <c r="B198">
        <v>55658715</v>
      </c>
      <c r="C198">
        <v>55658714</v>
      </c>
      <c r="D198">
        <v>53630109</v>
      </c>
      <c r="E198">
        <v>70</v>
      </c>
      <c r="F198">
        <v>1</v>
      </c>
      <c r="G198">
        <v>1</v>
      </c>
      <c r="H198">
        <v>1</v>
      </c>
      <c r="I198" t="s">
        <v>387</v>
      </c>
      <c r="K198" t="s">
        <v>388</v>
      </c>
      <c r="L198">
        <v>1191</v>
      </c>
      <c r="N198">
        <v>1013</v>
      </c>
      <c r="O198" t="s">
        <v>358</v>
      </c>
      <c r="P198" t="s">
        <v>358</v>
      </c>
      <c r="Q198">
        <v>1</v>
      </c>
      <c r="X198">
        <v>3.28</v>
      </c>
      <c r="Y198">
        <v>0</v>
      </c>
      <c r="Z198">
        <v>0</v>
      </c>
      <c r="AA198">
        <v>0</v>
      </c>
      <c r="AB198">
        <v>9.62</v>
      </c>
      <c r="AC198">
        <v>0</v>
      </c>
      <c r="AD198">
        <v>1</v>
      </c>
      <c r="AE198">
        <v>1</v>
      </c>
      <c r="AG198">
        <v>3.28</v>
      </c>
      <c r="AH198">
        <v>2</v>
      </c>
      <c r="AI198">
        <v>55658715</v>
      </c>
      <c r="AJ198">
        <v>188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ROW(Source!A91)</f>
        <v>91</v>
      </c>
      <c r="B199">
        <v>55658716</v>
      </c>
      <c r="C199">
        <v>55658714</v>
      </c>
      <c r="D199">
        <v>53630257</v>
      </c>
      <c r="E199">
        <v>70</v>
      </c>
      <c r="F199">
        <v>1</v>
      </c>
      <c r="G199">
        <v>1</v>
      </c>
      <c r="H199">
        <v>1</v>
      </c>
      <c r="I199" t="s">
        <v>359</v>
      </c>
      <c r="K199" t="s">
        <v>360</v>
      </c>
      <c r="L199">
        <v>1191</v>
      </c>
      <c r="N199">
        <v>1013</v>
      </c>
      <c r="O199" t="s">
        <v>358</v>
      </c>
      <c r="P199" t="s">
        <v>358</v>
      </c>
      <c r="Q199">
        <v>1</v>
      </c>
      <c r="X199">
        <v>0.35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2</v>
      </c>
      <c r="AG199">
        <v>0.35</v>
      </c>
      <c r="AH199">
        <v>2</v>
      </c>
      <c r="AI199">
        <v>55658716</v>
      </c>
      <c r="AJ199">
        <v>189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ROW(Source!A91)</f>
        <v>91</v>
      </c>
      <c r="B200">
        <v>55658717</v>
      </c>
      <c r="C200">
        <v>55658714</v>
      </c>
      <c r="D200">
        <v>53792927</v>
      </c>
      <c r="E200">
        <v>1</v>
      </c>
      <c r="F200">
        <v>1</v>
      </c>
      <c r="G200">
        <v>1</v>
      </c>
      <c r="H200">
        <v>2</v>
      </c>
      <c r="I200" t="s">
        <v>368</v>
      </c>
      <c r="J200" t="s">
        <v>369</v>
      </c>
      <c r="K200" t="s">
        <v>370</v>
      </c>
      <c r="L200">
        <v>1367</v>
      </c>
      <c r="N200">
        <v>1011</v>
      </c>
      <c r="O200" t="s">
        <v>364</v>
      </c>
      <c r="P200" t="s">
        <v>364</v>
      </c>
      <c r="Q200">
        <v>1</v>
      </c>
      <c r="X200">
        <v>0.35</v>
      </c>
      <c r="Y200">
        <v>0</v>
      </c>
      <c r="Z200">
        <v>65.71</v>
      </c>
      <c r="AA200">
        <v>11.6</v>
      </c>
      <c r="AB200">
        <v>0</v>
      </c>
      <c r="AC200">
        <v>0</v>
      </c>
      <c r="AD200">
        <v>1</v>
      </c>
      <c r="AE200">
        <v>0</v>
      </c>
      <c r="AG200">
        <v>0.35</v>
      </c>
      <c r="AH200">
        <v>2</v>
      </c>
      <c r="AI200">
        <v>55658717</v>
      </c>
      <c r="AJ200">
        <v>190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ROW(Source!A91)</f>
        <v>91</v>
      </c>
      <c r="B201">
        <v>55658718</v>
      </c>
      <c r="C201">
        <v>55658714</v>
      </c>
      <c r="D201">
        <v>53793158</v>
      </c>
      <c r="E201">
        <v>1</v>
      </c>
      <c r="F201">
        <v>1</v>
      </c>
      <c r="G201">
        <v>1</v>
      </c>
      <c r="H201">
        <v>2</v>
      </c>
      <c r="I201" t="s">
        <v>412</v>
      </c>
      <c r="J201" t="s">
        <v>413</v>
      </c>
      <c r="K201" t="s">
        <v>414</v>
      </c>
      <c r="L201">
        <v>1367</v>
      </c>
      <c r="N201">
        <v>1011</v>
      </c>
      <c r="O201" t="s">
        <v>364</v>
      </c>
      <c r="P201" t="s">
        <v>364</v>
      </c>
      <c r="Q201">
        <v>1</v>
      </c>
      <c r="X201">
        <v>2.35</v>
      </c>
      <c r="Y201">
        <v>0</v>
      </c>
      <c r="Z201">
        <v>32.5</v>
      </c>
      <c r="AA201">
        <v>0</v>
      </c>
      <c r="AB201">
        <v>0</v>
      </c>
      <c r="AC201">
        <v>0</v>
      </c>
      <c r="AD201">
        <v>1</v>
      </c>
      <c r="AE201">
        <v>0</v>
      </c>
      <c r="AG201">
        <v>2.35</v>
      </c>
      <c r="AH201">
        <v>2</v>
      </c>
      <c r="AI201">
        <v>55658718</v>
      </c>
      <c r="AJ201">
        <v>191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ROW(Source!A91)</f>
        <v>91</v>
      </c>
      <c r="B202">
        <v>55658719</v>
      </c>
      <c r="C202">
        <v>55658714</v>
      </c>
      <c r="D202">
        <v>53630458</v>
      </c>
      <c r="E202">
        <v>70</v>
      </c>
      <c r="F202">
        <v>1</v>
      </c>
      <c r="G202">
        <v>1</v>
      </c>
      <c r="H202">
        <v>3</v>
      </c>
      <c r="I202" t="s">
        <v>464</v>
      </c>
      <c r="K202" t="s">
        <v>465</v>
      </c>
      <c r="L202">
        <v>1301</v>
      </c>
      <c r="N202">
        <v>1003</v>
      </c>
      <c r="O202" t="s">
        <v>158</v>
      </c>
      <c r="P202" t="s">
        <v>158</v>
      </c>
      <c r="Q202">
        <v>1</v>
      </c>
      <c r="X202">
        <v>101.8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G202">
        <v>101.8</v>
      </c>
      <c r="AH202">
        <v>3</v>
      </c>
      <c r="AI202">
        <v>-1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ROW(Source!A94)</f>
        <v>94</v>
      </c>
      <c r="B203">
        <v>55658895</v>
      </c>
      <c r="C203">
        <v>55658891</v>
      </c>
      <c r="D203">
        <v>37822896</v>
      </c>
      <c r="E203">
        <v>70</v>
      </c>
      <c r="F203">
        <v>1</v>
      </c>
      <c r="G203">
        <v>1</v>
      </c>
      <c r="H203">
        <v>1</v>
      </c>
      <c r="I203" t="s">
        <v>415</v>
      </c>
      <c r="K203" t="s">
        <v>416</v>
      </c>
      <c r="L203">
        <v>1191</v>
      </c>
      <c r="N203">
        <v>1013</v>
      </c>
      <c r="O203" t="s">
        <v>358</v>
      </c>
      <c r="P203" t="s">
        <v>358</v>
      </c>
      <c r="Q203">
        <v>1</v>
      </c>
      <c r="X203">
        <v>16.64</v>
      </c>
      <c r="Y203">
        <v>0</v>
      </c>
      <c r="Z203">
        <v>0</v>
      </c>
      <c r="AA203">
        <v>0</v>
      </c>
      <c r="AB203">
        <v>8.53</v>
      </c>
      <c r="AC203">
        <v>0</v>
      </c>
      <c r="AD203">
        <v>1</v>
      </c>
      <c r="AE203">
        <v>1</v>
      </c>
      <c r="AF203" t="s">
        <v>118</v>
      </c>
      <c r="AG203">
        <v>19.136</v>
      </c>
      <c r="AH203">
        <v>2</v>
      </c>
      <c r="AI203">
        <v>55658892</v>
      </c>
      <c r="AJ203">
        <v>193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ROW(Source!A94)</f>
        <v>94</v>
      </c>
      <c r="B204">
        <v>55658896</v>
      </c>
      <c r="C204">
        <v>55658891</v>
      </c>
      <c r="D204">
        <v>53644872</v>
      </c>
      <c r="E204">
        <v>1</v>
      </c>
      <c r="F204">
        <v>1</v>
      </c>
      <c r="G204">
        <v>1</v>
      </c>
      <c r="H204">
        <v>3</v>
      </c>
      <c r="I204" t="s">
        <v>417</v>
      </c>
      <c r="J204" t="s">
        <v>418</v>
      </c>
      <c r="K204" t="s">
        <v>419</v>
      </c>
      <c r="L204">
        <v>1425</v>
      </c>
      <c r="N204">
        <v>1013</v>
      </c>
      <c r="O204" t="s">
        <v>204</v>
      </c>
      <c r="P204" t="s">
        <v>204</v>
      </c>
      <c r="Q204">
        <v>1</v>
      </c>
      <c r="X204">
        <v>6.7</v>
      </c>
      <c r="Y204">
        <v>12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G204">
        <v>6.7</v>
      </c>
      <c r="AH204">
        <v>2</v>
      </c>
      <c r="AI204">
        <v>55658893</v>
      </c>
      <c r="AJ204">
        <v>194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ROW(Source!A94)</f>
        <v>94</v>
      </c>
      <c r="B205">
        <v>55658897</v>
      </c>
      <c r="C205">
        <v>55658891</v>
      </c>
      <c r="D205">
        <v>53632462</v>
      </c>
      <c r="E205">
        <v>70</v>
      </c>
      <c r="F205">
        <v>1</v>
      </c>
      <c r="G205">
        <v>1</v>
      </c>
      <c r="H205">
        <v>3</v>
      </c>
      <c r="I205" t="s">
        <v>466</v>
      </c>
      <c r="K205" t="s">
        <v>467</v>
      </c>
      <c r="L205">
        <v>1301</v>
      </c>
      <c r="N205">
        <v>1003</v>
      </c>
      <c r="O205" t="s">
        <v>158</v>
      </c>
      <c r="P205" t="s">
        <v>158</v>
      </c>
      <c r="Q205">
        <v>1</v>
      </c>
      <c r="X205">
        <v>105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G205">
        <v>105</v>
      </c>
      <c r="AH205">
        <v>3</v>
      </c>
      <c r="AI205">
        <v>-1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ROW(Source!A95)</f>
        <v>95</v>
      </c>
      <c r="B206">
        <v>55658895</v>
      </c>
      <c r="C206">
        <v>55658891</v>
      </c>
      <c r="D206">
        <v>37822896</v>
      </c>
      <c r="E206">
        <v>70</v>
      </c>
      <c r="F206">
        <v>1</v>
      </c>
      <c r="G206">
        <v>1</v>
      </c>
      <c r="H206">
        <v>1</v>
      </c>
      <c r="I206" t="s">
        <v>415</v>
      </c>
      <c r="K206" t="s">
        <v>416</v>
      </c>
      <c r="L206">
        <v>1191</v>
      </c>
      <c r="N206">
        <v>1013</v>
      </c>
      <c r="O206" t="s">
        <v>358</v>
      </c>
      <c r="P206" t="s">
        <v>358</v>
      </c>
      <c r="Q206">
        <v>1</v>
      </c>
      <c r="X206">
        <v>16.64</v>
      </c>
      <c r="Y206">
        <v>0</v>
      </c>
      <c r="Z206">
        <v>0</v>
      </c>
      <c r="AA206">
        <v>0</v>
      </c>
      <c r="AB206">
        <v>8.53</v>
      </c>
      <c r="AC206">
        <v>0</v>
      </c>
      <c r="AD206">
        <v>1</v>
      </c>
      <c r="AE206">
        <v>1</v>
      </c>
      <c r="AF206" t="s">
        <v>118</v>
      </c>
      <c r="AG206">
        <v>19.136</v>
      </c>
      <c r="AH206">
        <v>2</v>
      </c>
      <c r="AI206">
        <v>55658892</v>
      </c>
      <c r="AJ206">
        <v>196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ROW(Source!A95)</f>
        <v>95</v>
      </c>
      <c r="B207">
        <v>55658896</v>
      </c>
      <c r="C207">
        <v>55658891</v>
      </c>
      <c r="D207">
        <v>53644872</v>
      </c>
      <c r="E207">
        <v>1</v>
      </c>
      <c r="F207">
        <v>1</v>
      </c>
      <c r="G207">
        <v>1</v>
      </c>
      <c r="H207">
        <v>3</v>
      </c>
      <c r="I207" t="s">
        <v>417</v>
      </c>
      <c r="J207" t="s">
        <v>418</v>
      </c>
      <c r="K207" t="s">
        <v>419</v>
      </c>
      <c r="L207">
        <v>1425</v>
      </c>
      <c r="N207">
        <v>1013</v>
      </c>
      <c r="O207" t="s">
        <v>204</v>
      </c>
      <c r="P207" t="s">
        <v>204</v>
      </c>
      <c r="Q207">
        <v>1</v>
      </c>
      <c r="X207">
        <v>6.7</v>
      </c>
      <c r="Y207">
        <v>12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6.7</v>
      </c>
      <c r="AH207">
        <v>2</v>
      </c>
      <c r="AI207">
        <v>55658893</v>
      </c>
      <c r="AJ207">
        <v>197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ROW(Source!A95)</f>
        <v>95</v>
      </c>
      <c r="B208">
        <v>55658897</v>
      </c>
      <c r="C208">
        <v>55658891</v>
      </c>
      <c r="D208">
        <v>53632462</v>
      </c>
      <c r="E208">
        <v>70</v>
      </c>
      <c r="F208">
        <v>1</v>
      </c>
      <c r="G208">
        <v>1</v>
      </c>
      <c r="H208">
        <v>3</v>
      </c>
      <c r="I208" t="s">
        <v>466</v>
      </c>
      <c r="K208" t="s">
        <v>467</v>
      </c>
      <c r="L208">
        <v>1301</v>
      </c>
      <c r="N208">
        <v>1003</v>
      </c>
      <c r="O208" t="s">
        <v>158</v>
      </c>
      <c r="P208" t="s">
        <v>158</v>
      </c>
      <c r="Q208">
        <v>1</v>
      </c>
      <c r="X208">
        <v>105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G208">
        <v>105</v>
      </c>
      <c r="AH208">
        <v>3</v>
      </c>
      <c r="AI208">
        <v>-1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ROW(Source!A98)</f>
        <v>98</v>
      </c>
      <c r="B209">
        <v>55668605</v>
      </c>
      <c r="C209">
        <v>55668604</v>
      </c>
      <c r="D209">
        <v>53630101</v>
      </c>
      <c r="E209">
        <v>70</v>
      </c>
      <c r="F209">
        <v>1</v>
      </c>
      <c r="G209">
        <v>1</v>
      </c>
      <c r="H209">
        <v>1</v>
      </c>
      <c r="I209" t="s">
        <v>420</v>
      </c>
      <c r="K209" t="s">
        <v>421</v>
      </c>
      <c r="L209">
        <v>1191</v>
      </c>
      <c r="N209">
        <v>1013</v>
      </c>
      <c r="O209" t="s">
        <v>358</v>
      </c>
      <c r="P209" t="s">
        <v>358</v>
      </c>
      <c r="Q209">
        <v>1</v>
      </c>
      <c r="X209">
        <v>80.1</v>
      </c>
      <c r="Y209">
        <v>0</v>
      </c>
      <c r="Z209">
        <v>0</v>
      </c>
      <c r="AA209">
        <v>0</v>
      </c>
      <c r="AB209">
        <v>9.4</v>
      </c>
      <c r="AC209">
        <v>0</v>
      </c>
      <c r="AD209">
        <v>1</v>
      </c>
      <c r="AE209">
        <v>1</v>
      </c>
      <c r="AF209" t="s">
        <v>118</v>
      </c>
      <c r="AG209">
        <v>92.11499999999998</v>
      </c>
      <c r="AH209">
        <v>2</v>
      </c>
      <c r="AI209">
        <v>55668605</v>
      </c>
      <c r="AJ209">
        <v>199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ROW(Source!A98)</f>
        <v>98</v>
      </c>
      <c r="B210">
        <v>55668606</v>
      </c>
      <c r="C210">
        <v>55668604</v>
      </c>
      <c r="D210">
        <v>53630257</v>
      </c>
      <c r="E210">
        <v>70</v>
      </c>
      <c r="F210">
        <v>1</v>
      </c>
      <c r="G210">
        <v>1</v>
      </c>
      <c r="H210">
        <v>1</v>
      </c>
      <c r="I210" t="s">
        <v>359</v>
      </c>
      <c r="K210" t="s">
        <v>360</v>
      </c>
      <c r="L210">
        <v>1191</v>
      </c>
      <c r="N210">
        <v>1013</v>
      </c>
      <c r="O210" t="s">
        <v>358</v>
      </c>
      <c r="P210" t="s">
        <v>358</v>
      </c>
      <c r="Q210">
        <v>1</v>
      </c>
      <c r="X210">
        <v>10.24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2</v>
      </c>
      <c r="AF210" t="s">
        <v>117</v>
      </c>
      <c r="AG210">
        <v>12.8</v>
      </c>
      <c r="AH210">
        <v>2</v>
      </c>
      <c r="AI210">
        <v>55668606</v>
      </c>
      <c r="AJ210">
        <v>200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ROW(Source!A98)</f>
        <v>98</v>
      </c>
      <c r="B211">
        <v>55668607</v>
      </c>
      <c r="C211">
        <v>55668604</v>
      </c>
      <c r="D211">
        <v>53791939</v>
      </c>
      <c r="E211">
        <v>1</v>
      </c>
      <c r="F211">
        <v>1</v>
      </c>
      <c r="G211">
        <v>1</v>
      </c>
      <c r="H211">
        <v>2</v>
      </c>
      <c r="I211" t="s">
        <v>422</v>
      </c>
      <c r="J211" t="s">
        <v>423</v>
      </c>
      <c r="K211" t="s">
        <v>424</v>
      </c>
      <c r="L211">
        <v>1367</v>
      </c>
      <c r="N211">
        <v>1011</v>
      </c>
      <c r="O211" t="s">
        <v>364</v>
      </c>
      <c r="P211" t="s">
        <v>364</v>
      </c>
      <c r="Q211">
        <v>1</v>
      </c>
      <c r="X211">
        <v>7.08</v>
      </c>
      <c r="Y211">
        <v>0</v>
      </c>
      <c r="Z211">
        <v>86.4</v>
      </c>
      <c r="AA211">
        <v>13.5</v>
      </c>
      <c r="AB211">
        <v>0</v>
      </c>
      <c r="AC211">
        <v>0</v>
      </c>
      <c r="AD211">
        <v>1</v>
      </c>
      <c r="AE211">
        <v>0</v>
      </c>
      <c r="AF211" t="s">
        <v>117</v>
      </c>
      <c r="AG211">
        <v>8.85</v>
      </c>
      <c r="AH211">
        <v>2</v>
      </c>
      <c r="AI211">
        <v>55668607</v>
      </c>
      <c r="AJ211">
        <v>201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ROW(Source!A98)</f>
        <v>98</v>
      </c>
      <c r="B212">
        <v>55668608</v>
      </c>
      <c r="C212">
        <v>55668604</v>
      </c>
      <c r="D212">
        <v>53791997</v>
      </c>
      <c r="E212">
        <v>1</v>
      </c>
      <c r="F212">
        <v>1</v>
      </c>
      <c r="G212">
        <v>1</v>
      </c>
      <c r="H212">
        <v>2</v>
      </c>
      <c r="I212" t="s">
        <v>361</v>
      </c>
      <c r="J212" t="s">
        <v>362</v>
      </c>
      <c r="K212" t="s">
        <v>363</v>
      </c>
      <c r="L212">
        <v>1367</v>
      </c>
      <c r="N212">
        <v>1011</v>
      </c>
      <c r="O212" t="s">
        <v>364</v>
      </c>
      <c r="P212" t="s">
        <v>364</v>
      </c>
      <c r="Q212">
        <v>1</v>
      </c>
      <c r="X212">
        <v>1.26</v>
      </c>
      <c r="Y212">
        <v>0</v>
      </c>
      <c r="Z212">
        <v>115.4</v>
      </c>
      <c r="AA212">
        <v>13.5</v>
      </c>
      <c r="AB212">
        <v>0</v>
      </c>
      <c r="AC212">
        <v>0</v>
      </c>
      <c r="AD212">
        <v>1</v>
      </c>
      <c r="AE212">
        <v>0</v>
      </c>
      <c r="AF212" t="s">
        <v>117</v>
      </c>
      <c r="AG212">
        <v>1.575</v>
      </c>
      <c r="AH212">
        <v>2</v>
      </c>
      <c r="AI212">
        <v>55668608</v>
      </c>
      <c r="AJ212">
        <v>202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ROW(Source!A98)</f>
        <v>98</v>
      </c>
      <c r="B213">
        <v>55668609</v>
      </c>
      <c r="C213">
        <v>55668604</v>
      </c>
      <c r="D213">
        <v>53792927</v>
      </c>
      <c r="E213">
        <v>1</v>
      </c>
      <c r="F213">
        <v>1</v>
      </c>
      <c r="G213">
        <v>1</v>
      </c>
      <c r="H213">
        <v>2</v>
      </c>
      <c r="I213" t="s">
        <v>368</v>
      </c>
      <c r="J213" t="s">
        <v>369</v>
      </c>
      <c r="K213" t="s">
        <v>370</v>
      </c>
      <c r="L213">
        <v>1367</v>
      </c>
      <c r="N213">
        <v>1011</v>
      </c>
      <c r="O213" t="s">
        <v>364</v>
      </c>
      <c r="P213" t="s">
        <v>364</v>
      </c>
      <c r="Q213">
        <v>1</v>
      </c>
      <c r="X213">
        <v>1.9</v>
      </c>
      <c r="Y213">
        <v>0</v>
      </c>
      <c r="Z213">
        <v>65.71</v>
      </c>
      <c r="AA213">
        <v>11.6</v>
      </c>
      <c r="AB213">
        <v>0</v>
      </c>
      <c r="AC213">
        <v>0</v>
      </c>
      <c r="AD213">
        <v>1</v>
      </c>
      <c r="AE213">
        <v>0</v>
      </c>
      <c r="AF213" t="s">
        <v>117</v>
      </c>
      <c r="AG213">
        <v>2.375</v>
      </c>
      <c r="AH213">
        <v>2</v>
      </c>
      <c r="AI213">
        <v>55668609</v>
      </c>
      <c r="AJ213">
        <v>203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ROW(Source!A98)</f>
        <v>98</v>
      </c>
      <c r="B214">
        <v>55668610</v>
      </c>
      <c r="C214">
        <v>55668604</v>
      </c>
      <c r="D214">
        <v>53630422</v>
      </c>
      <c r="E214">
        <v>70</v>
      </c>
      <c r="F214">
        <v>1</v>
      </c>
      <c r="G214">
        <v>1</v>
      </c>
      <c r="H214">
        <v>3</v>
      </c>
      <c r="I214" t="s">
        <v>468</v>
      </c>
      <c r="K214" t="s">
        <v>469</v>
      </c>
      <c r="L214">
        <v>1377</v>
      </c>
      <c r="N214">
        <v>1013</v>
      </c>
      <c r="O214" t="s">
        <v>150</v>
      </c>
      <c r="P214" t="s">
        <v>150</v>
      </c>
      <c r="Q214">
        <v>1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1</v>
      </c>
      <c r="AD214">
        <v>0</v>
      </c>
      <c r="AE214">
        <v>0</v>
      </c>
      <c r="AG214">
        <v>0</v>
      </c>
      <c r="AH214">
        <v>3</v>
      </c>
      <c r="AI214">
        <v>-1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ROW(Source!A98)</f>
        <v>98</v>
      </c>
      <c r="B215">
        <v>55668611</v>
      </c>
      <c r="C215">
        <v>55668604</v>
      </c>
      <c r="D215">
        <v>53644939</v>
      </c>
      <c r="E215">
        <v>1</v>
      </c>
      <c r="F215">
        <v>1</v>
      </c>
      <c r="G215">
        <v>1</v>
      </c>
      <c r="H215">
        <v>3</v>
      </c>
      <c r="I215" t="s">
        <v>62</v>
      </c>
      <c r="J215" t="s">
        <v>64</v>
      </c>
      <c r="K215" t="s">
        <v>63</v>
      </c>
      <c r="L215">
        <v>1348</v>
      </c>
      <c r="N215">
        <v>1009</v>
      </c>
      <c r="O215" t="s">
        <v>41</v>
      </c>
      <c r="P215" t="s">
        <v>41</v>
      </c>
      <c r="Q215">
        <v>1000</v>
      </c>
      <c r="X215">
        <v>0.00168</v>
      </c>
      <c r="Y215">
        <v>11978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G215">
        <v>0.00168</v>
      </c>
      <c r="AH215">
        <v>2</v>
      </c>
      <c r="AI215">
        <v>55668611</v>
      </c>
      <c r="AJ215">
        <v>204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ROW(Source!A98)</f>
        <v>98</v>
      </c>
      <c r="B216">
        <v>55668612</v>
      </c>
      <c r="C216">
        <v>55668604</v>
      </c>
      <c r="D216">
        <v>53647861</v>
      </c>
      <c r="E216">
        <v>1</v>
      </c>
      <c r="F216">
        <v>1</v>
      </c>
      <c r="G216">
        <v>1</v>
      </c>
      <c r="H216">
        <v>3</v>
      </c>
      <c r="I216" t="s">
        <v>425</v>
      </c>
      <c r="J216" t="s">
        <v>426</v>
      </c>
      <c r="K216" t="s">
        <v>427</v>
      </c>
      <c r="L216">
        <v>1339</v>
      </c>
      <c r="N216">
        <v>1007</v>
      </c>
      <c r="O216" t="s">
        <v>46</v>
      </c>
      <c r="P216" t="s">
        <v>46</v>
      </c>
      <c r="Q216">
        <v>1</v>
      </c>
      <c r="X216">
        <v>0.076</v>
      </c>
      <c r="Y216">
        <v>458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G216">
        <v>0.076</v>
      </c>
      <c r="AH216">
        <v>2</v>
      </c>
      <c r="AI216">
        <v>55668612</v>
      </c>
      <c r="AJ216">
        <v>205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ROW(Source!A98)</f>
        <v>98</v>
      </c>
      <c r="B217">
        <v>55668613</v>
      </c>
      <c r="C217">
        <v>55668604</v>
      </c>
      <c r="D217">
        <v>53660946</v>
      </c>
      <c r="E217">
        <v>1</v>
      </c>
      <c r="F217">
        <v>1</v>
      </c>
      <c r="G217">
        <v>1</v>
      </c>
      <c r="H217">
        <v>3</v>
      </c>
      <c r="I217" t="s">
        <v>428</v>
      </c>
      <c r="J217" t="s">
        <v>429</v>
      </c>
      <c r="K217" t="s">
        <v>430</v>
      </c>
      <c r="L217">
        <v>1346</v>
      </c>
      <c r="N217">
        <v>1009</v>
      </c>
      <c r="O217" t="s">
        <v>51</v>
      </c>
      <c r="P217" t="s">
        <v>51</v>
      </c>
      <c r="Q217">
        <v>1</v>
      </c>
      <c r="X217">
        <v>22.41</v>
      </c>
      <c r="Y217">
        <v>10.26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G217">
        <v>22.41</v>
      </c>
      <c r="AH217">
        <v>2</v>
      </c>
      <c r="AI217">
        <v>55668613</v>
      </c>
      <c r="AJ217">
        <v>206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ROW(Source!A98)</f>
        <v>98</v>
      </c>
      <c r="B218">
        <v>55668614</v>
      </c>
      <c r="C218">
        <v>55668604</v>
      </c>
      <c r="D218">
        <v>53666237</v>
      </c>
      <c r="E218">
        <v>1</v>
      </c>
      <c r="F218">
        <v>1</v>
      </c>
      <c r="G218">
        <v>1</v>
      </c>
      <c r="H218">
        <v>3</v>
      </c>
      <c r="I218" t="s">
        <v>431</v>
      </c>
      <c r="J218" t="s">
        <v>432</v>
      </c>
      <c r="K218" t="s">
        <v>433</v>
      </c>
      <c r="L218">
        <v>1339</v>
      </c>
      <c r="N218">
        <v>1007</v>
      </c>
      <c r="O218" t="s">
        <v>46</v>
      </c>
      <c r="P218" t="s">
        <v>46</v>
      </c>
      <c r="Q218">
        <v>1</v>
      </c>
      <c r="X218">
        <v>0.07</v>
      </c>
      <c r="Y218">
        <v>1100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G218">
        <v>0.07</v>
      </c>
      <c r="AH218">
        <v>2</v>
      </c>
      <c r="AI218">
        <v>55668614</v>
      </c>
      <c r="AJ218">
        <v>207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ROW(Source!A98)</f>
        <v>98</v>
      </c>
      <c r="B219">
        <v>55668615</v>
      </c>
      <c r="C219">
        <v>55668604</v>
      </c>
      <c r="D219">
        <v>53632598</v>
      </c>
      <c r="E219">
        <v>70</v>
      </c>
      <c r="F219">
        <v>1</v>
      </c>
      <c r="G219">
        <v>1</v>
      </c>
      <c r="H219">
        <v>3</v>
      </c>
      <c r="I219" t="s">
        <v>470</v>
      </c>
      <c r="K219" t="s">
        <v>471</v>
      </c>
      <c r="L219">
        <v>1327</v>
      </c>
      <c r="N219">
        <v>1005</v>
      </c>
      <c r="O219" t="s">
        <v>146</v>
      </c>
      <c r="P219" t="s">
        <v>146</v>
      </c>
      <c r="Q219">
        <v>1</v>
      </c>
      <c r="X219">
        <v>100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G219">
        <v>100</v>
      </c>
      <c r="AH219">
        <v>3</v>
      </c>
      <c r="AI219">
        <v>-1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ROW(Source!A98)</f>
        <v>98</v>
      </c>
      <c r="B220">
        <v>55668616</v>
      </c>
      <c r="C220">
        <v>55668604</v>
      </c>
      <c r="D220">
        <v>53674465</v>
      </c>
      <c r="E220">
        <v>1</v>
      </c>
      <c r="F220">
        <v>1</v>
      </c>
      <c r="G220">
        <v>1</v>
      </c>
      <c r="H220">
        <v>3</v>
      </c>
      <c r="I220" t="s">
        <v>434</v>
      </c>
      <c r="J220" t="s">
        <v>435</v>
      </c>
      <c r="K220" t="s">
        <v>436</v>
      </c>
      <c r="L220">
        <v>1296</v>
      </c>
      <c r="N220">
        <v>1002</v>
      </c>
      <c r="O220" t="s">
        <v>437</v>
      </c>
      <c r="P220" t="s">
        <v>437</v>
      </c>
      <c r="Q220">
        <v>1</v>
      </c>
      <c r="X220">
        <v>22.2</v>
      </c>
      <c r="Y220">
        <v>46.86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G220">
        <v>22.2</v>
      </c>
      <c r="AH220">
        <v>2</v>
      </c>
      <c r="AI220">
        <v>55668616</v>
      </c>
      <c r="AJ220">
        <v>208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ROW(Source!A99)</f>
        <v>99</v>
      </c>
      <c r="B221">
        <v>55668605</v>
      </c>
      <c r="C221">
        <v>55668604</v>
      </c>
      <c r="D221">
        <v>53630101</v>
      </c>
      <c r="E221">
        <v>70</v>
      </c>
      <c r="F221">
        <v>1</v>
      </c>
      <c r="G221">
        <v>1</v>
      </c>
      <c r="H221">
        <v>1</v>
      </c>
      <c r="I221" t="s">
        <v>420</v>
      </c>
      <c r="K221" t="s">
        <v>421</v>
      </c>
      <c r="L221">
        <v>1191</v>
      </c>
      <c r="N221">
        <v>1013</v>
      </c>
      <c r="O221" t="s">
        <v>358</v>
      </c>
      <c r="P221" t="s">
        <v>358</v>
      </c>
      <c r="Q221">
        <v>1</v>
      </c>
      <c r="X221">
        <v>80.1</v>
      </c>
      <c r="Y221">
        <v>0</v>
      </c>
      <c r="Z221">
        <v>0</v>
      </c>
      <c r="AA221">
        <v>0</v>
      </c>
      <c r="AB221">
        <v>9.4</v>
      </c>
      <c r="AC221">
        <v>0</v>
      </c>
      <c r="AD221">
        <v>1</v>
      </c>
      <c r="AE221">
        <v>1</v>
      </c>
      <c r="AF221" t="s">
        <v>118</v>
      </c>
      <c r="AG221">
        <v>92.11499999999998</v>
      </c>
      <c r="AH221">
        <v>2</v>
      </c>
      <c r="AI221">
        <v>55668605</v>
      </c>
      <c r="AJ221">
        <v>210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ROW(Source!A99)</f>
        <v>99</v>
      </c>
      <c r="B222">
        <v>55668606</v>
      </c>
      <c r="C222">
        <v>55668604</v>
      </c>
      <c r="D222">
        <v>53630257</v>
      </c>
      <c r="E222">
        <v>70</v>
      </c>
      <c r="F222">
        <v>1</v>
      </c>
      <c r="G222">
        <v>1</v>
      </c>
      <c r="H222">
        <v>1</v>
      </c>
      <c r="I222" t="s">
        <v>359</v>
      </c>
      <c r="K222" t="s">
        <v>360</v>
      </c>
      <c r="L222">
        <v>1191</v>
      </c>
      <c r="N222">
        <v>1013</v>
      </c>
      <c r="O222" t="s">
        <v>358</v>
      </c>
      <c r="P222" t="s">
        <v>358</v>
      </c>
      <c r="Q222">
        <v>1</v>
      </c>
      <c r="X222">
        <v>10.24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2</v>
      </c>
      <c r="AF222" t="s">
        <v>117</v>
      </c>
      <c r="AG222">
        <v>12.8</v>
      </c>
      <c r="AH222">
        <v>2</v>
      </c>
      <c r="AI222">
        <v>55668606</v>
      </c>
      <c r="AJ222">
        <v>211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ROW(Source!A99)</f>
        <v>99</v>
      </c>
      <c r="B223">
        <v>55668607</v>
      </c>
      <c r="C223">
        <v>55668604</v>
      </c>
      <c r="D223">
        <v>53791939</v>
      </c>
      <c r="E223">
        <v>1</v>
      </c>
      <c r="F223">
        <v>1</v>
      </c>
      <c r="G223">
        <v>1</v>
      </c>
      <c r="H223">
        <v>2</v>
      </c>
      <c r="I223" t="s">
        <v>422</v>
      </c>
      <c r="J223" t="s">
        <v>423</v>
      </c>
      <c r="K223" t="s">
        <v>424</v>
      </c>
      <c r="L223">
        <v>1367</v>
      </c>
      <c r="N223">
        <v>1011</v>
      </c>
      <c r="O223" t="s">
        <v>364</v>
      </c>
      <c r="P223" t="s">
        <v>364</v>
      </c>
      <c r="Q223">
        <v>1</v>
      </c>
      <c r="X223">
        <v>7.08</v>
      </c>
      <c r="Y223">
        <v>0</v>
      </c>
      <c r="Z223">
        <v>86.4</v>
      </c>
      <c r="AA223">
        <v>13.5</v>
      </c>
      <c r="AB223">
        <v>0</v>
      </c>
      <c r="AC223">
        <v>0</v>
      </c>
      <c r="AD223">
        <v>1</v>
      </c>
      <c r="AE223">
        <v>0</v>
      </c>
      <c r="AF223" t="s">
        <v>117</v>
      </c>
      <c r="AG223">
        <v>8.85</v>
      </c>
      <c r="AH223">
        <v>2</v>
      </c>
      <c r="AI223">
        <v>55668607</v>
      </c>
      <c r="AJ223">
        <v>212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ROW(Source!A99)</f>
        <v>99</v>
      </c>
      <c r="B224">
        <v>55668608</v>
      </c>
      <c r="C224">
        <v>55668604</v>
      </c>
      <c r="D224">
        <v>53791997</v>
      </c>
      <c r="E224">
        <v>1</v>
      </c>
      <c r="F224">
        <v>1</v>
      </c>
      <c r="G224">
        <v>1</v>
      </c>
      <c r="H224">
        <v>2</v>
      </c>
      <c r="I224" t="s">
        <v>361</v>
      </c>
      <c r="J224" t="s">
        <v>362</v>
      </c>
      <c r="K224" t="s">
        <v>363</v>
      </c>
      <c r="L224">
        <v>1367</v>
      </c>
      <c r="N224">
        <v>1011</v>
      </c>
      <c r="O224" t="s">
        <v>364</v>
      </c>
      <c r="P224" t="s">
        <v>364</v>
      </c>
      <c r="Q224">
        <v>1</v>
      </c>
      <c r="X224">
        <v>1.26</v>
      </c>
      <c r="Y224">
        <v>0</v>
      </c>
      <c r="Z224">
        <v>115.4</v>
      </c>
      <c r="AA224">
        <v>13.5</v>
      </c>
      <c r="AB224">
        <v>0</v>
      </c>
      <c r="AC224">
        <v>0</v>
      </c>
      <c r="AD224">
        <v>1</v>
      </c>
      <c r="AE224">
        <v>0</v>
      </c>
      <c r="AF224" t="s">
        <v>117</v>
      </c>
      <c r="AG224">
        <v>1.575</v>
      </c>
      <c r="AH224">
        <v>2</v>
      </c>
      <c r="AI224">
        <v>55668608</v>
      </c>
      <c r="AJ224">
        <v>213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ROW(Source!A99)</f>
        <v>99</v>
      </c>
      <c r="B225">
        <v>55668609</v>
      </c>
      <c r="C225">
        <v>55668604</v>
      </c>
      <c r="D225">
        <v>53792927</v>
      </c>
      <c r="E225">
        <v>1</v>
      </c>
      <c r="F225">
        <v>1</v>
      </c>
      <c r="G225">
        <v>1</v>
      </c>
      <c r="H225">
        <v>2</v>
      </c>
      <c r="I225" t="s">
        <v>368</v>
      </c>
      <c r="J225" t="s">
        <v>369</v>
      </c>
      <c r="K225" t="s">
        <v>370</v>
      </c>
      <c r="L225">
        <v>1367</v>
      </c>
      <c r="N225">
        <v>1011</v>
      </c>
      <c r="O225" t="s">
        <v>364</v>
      </c>
      <c r="P225" t="s">
        <v>364</v>
      </c>
      <c r="Q225">
        <v>1</v>
      </c>
      <c r="X225">
        <v>1.9</v>
      </c>
      <c r="Y225">
        <v>0</v>
      </c>
      <c r="Z225">
        <v>65.71</v>
      </c>
      <c r="AA225">
        <v>11.6</v>
      </c>
      <c r="AB225">
        <v>0</v>
      </c>
      <c r="AC225">
        <v>0</v>
      </c>
      <c r="AD225">
        <v>1</v>
      </c>
      <c r="AE225">
        <v>0</v>
      </c>
      <c r="AF225" t="s">
        <v>117</v>
      </c>
      <c r="AG225">
        <v>2.375</v>
      </c>
      <c r="AH225">
        <v>2</v>
      </c>
      <c r="AI225">
        <v>55668609</v>
      </c>
      <c r="AJ225">
        <v>214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ROW(Source!A99)</f>
        <v>99</v>
      </c>
      <c r="B226">
        <v>55668610</v>
      </c>
      <c r="C226">
        <v>55668604</v>
      </c>
      <c r="D226">
        <v>53630422</v>
      </c>
      <c r="E226">
        <v>70</v>
      </c>
      <c r="F226">
        <v>1</v>
      </c>
      <c r="G226">
        <v>1</v>
      </c>
      <c r="H226">
        <v>3</v>
      </c>
      <c r="I226" t="s">
        <v>468</v>
      </c>
      <c r="K226" t="s">
        <v>469</v>
      </c>
      <c r="L226">
        <v>1377</v>
      </c>
      <c r="N226">
        <v>1013</v>
      </c>
      <c r="O226" t="s">
        <v>150</v>
      </c>
      <c r="P226" t="s">
        <v>150</v>
      </c>
      <c r="Q226">
        <v>1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</v>
      </c>
      <c r="AD226">
        <v>0</v>
      </c>
      <c r="AE226">
        <v>0</v>
      </c>
      <c r="AG226">
        <v>0</v>
      </c>
      <c r="AH226">
        <v>3</v>
      </c>
      <c r="AI226">
        <v>-1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ht="12.75">
      <c r="A227">
        <f>ROW(Source!A99)</f>
        <v>99</v>
      </c>
      <c r="B227">
        <v>55668611</v>
      </c>
      <c r="C227">
        <v>55668604</v>
      </c>
      <c r="D227">
        <v>53644939</v>
      </c>
      <c r="E227">
        <v>1</v>
      </c>
      <c r="F227">
        <v>1</v>
      </c>
      <c r="G227">
        <v>1</v>
      </c>
      <c r="H227">
        <v>3</v>
      </c>
      <c r="I227" t="s">
        <v>62</v>
      </c>
      <c r="J227" t="s">
        <v>64</v>
      </c>
      <c r="K227" t="s">
        <v>63</v>
      </c>
      <c r="L227">
        <v>1348</v>
      </c>
      <c r="N227">
        <v>1009</v>
      </c>
      <c r="O227" t="s">
        <v>41</v>
      </c>
      <c r="P227" t="s">
        <v>41</v>
      </c>
      <c r="Q227">
        <v>1000</v>
      </c>
      <c r="X227">
        <v>0.00168</v>
      </c>
      <c r="Y227">
        <v>11978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G227">
        <v>0.00168</v>
      </c>
      <c r="AH227">
        <v>2</v>
      </c>
      <c r="AI227">
        <v>55668611</v>
      </c>
      <c r="AJ227">
        <v>215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t="12.75">
      <c r="A228">
        <f>ROW(Source!A99)</f>
        <v>99</v>
      </c>
      <c r="B228">
        <v>55668612</v>
      </c>
      <c r="C228">
        <v>55668604</v>
      </c>
      <c r="D228">
        <v>53647861</v>
      </c>
      <c r="E228">
        <v>1</v>
      </c>
      <c r="F228">
        <v>1</v>
      </c>
      <c r="G228">
        <v>1</v>
      </c>
      <c r="H228">
        <v>3</v>
      </c>
      <c r="I228" t="s">
        <v>425</v>
      </c>
      <c r="J228" t="s">
        <v>426</v>
      </c>
      <c r="K228" t="s">
        <v>427</v>
      </c>
      <c r="L228">
        <v>1339</v>
      </c>
      <c r="N228">
        <v>1007</v>
      </c>
      <c r="O228" t="s">
        <v>46</v>
      </c>
      <c r="P228" t="s">
        <v>46</v>
      </c>
      <c r="Q228">
        <v>1</v>
      </c>
      <c r="X228">
        <v>0.076</v>
      </c>
      <c r="Y228">
        <v>458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G228">
        <v>0.076</v>
      </c>
      <c r="AH228">
        <v>2</v>
      </c>
      <c r="AI228">
        <v>55668612</v>
      </c>
      <c r="AJ228">
        <v>216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ht="12.75">
      <c r="A229">
        <f>ROW(Source!A99)</f>
        <v>99</v>
      </c>
      <c r="B229">
        <v>55668613</v>
      </c>
      <c r="C229">
        <v>55668604</v>
      </c>
      <c r="D229">
        <v>53660946</v>
      </c>
      <c r="E229">
        <v>1</v>
      </c>
      <c r="F229">
        <v>1</v>
      </c>
      <c r="G229">
        <v>1</v>
      </c>
      <c r="H229">
        <v>3</v>
      </c>
      <c r="I229" t="s">
        <v>428</v>
      </c>
      <c r="J229" t="s">
        <v>429</v>
      </c>
      <c r="K229" t="s">
        <v>430</v>
      </c>
      <c r="L229">
        <v>1346</v>
      </c>
      <c r="N229">
        <v>1009</v>
      </c>
      <c r="O229" t="s">
        <v>51</v>
      </c>
      <c r="P229" t="s">
        <v>51</v>
      </c>
      <c r="Q229">
        <v>1</v>
      </c>
      <c r="X229">
        <v>22.41</v>
      </c>
      <c r="Y229">
        <v>10.26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G229">
        <v>22.41</v>
      </c>
      <c r="AH229">
        <v>2</v>
      </c>
      <c r="AI229">
        <v>55668613</v>
      </c>
      <c r="AJ229">
        <v>217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ht="12.75">
      <c r="A230">
        <f>ROW(Source!A99)</f>
        <v>99</v>
      </c>
      <c r="B230">
        <v>55668614</v>
      </c>
      <c r="C230">
        <v>55668604</v>
      </c>
      <c r="D230">
        <v>53666237</v>
      </c>
      <c r="E230">
        <v>1</v>
      </c>
      <c r="F230">
        <v>1</v>
      </c>
      <c r="G230">
        <v>1</v>
      </c>
      <c r="H230">
        <v>3</v>
      </c>
      <c r="I230" t="s">
        <v>431</v>
      </c>
      <c r="J230" t="s">
        <v>432</v>
      </c>
      <c r="K230" t="s">
        <v>433</v>
      </c>
      <c r="L230">
        <v>1339</v>
      </c>
      <c r="N230">
        <v>1007</v>
      </c>
      <c r="O230" t="s">
        <v>46</v>
      </c>
      <c r="P230" t="s">
        <v>46</v>
      </c>
      <c r="Q230">
        <v>1</v>
      </c>
      <c r="X230">
        <v>0.07</v>
      </c>
      <c r="Y230">
        <v>1100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G230">
        <v>0.07</v>
      </c>
      <c r="AH230">
        <v>2</v>
      </c>
      <c r="AI230">
        <v>55668614</v>
      </c>
      <c r="AJ230">
        <v>218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ht="12.75">
      <c r="A231">
        <f>ROW(Source!A99)</f>
        <v>99</v>
      </c>
      <c r="B231">
        <v>55668615</v>
      </c>
      <c r="C231">
        <v>55668604</v>
      </c>
      <c r="D231">
        <v>53632598</v>
      </c>
      <c r="E231">
        <v>70</v>
      </c>
      <c r="F231">
        <v>1</v>
      </c>
      <c r="G231">
        <v>1</v>
      </c>
      <c r="H231">
        <v>3</v>
      </c>
      <c r="I231" t="s">
        <v>470</v>
      </c>
      <c r="K231" t="s">
        <v>471</v>
      </c>
      <c r="L231">
        <v>1327</v>
      </c>
      <c r="N231">
        <v>1005</v>
      </c>
      <c r="O231" t="s">
        <v>146</v>
      </c>
      <c r="P231" t="s">
        <v>146</v>
      </c>
      <c r="Q231">
        <v>1</v>
      </c>
      <c r="X231">
        <v>100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G231">
        <v>100</v>
      </c>
      <c r="AH231">
        <v>3</v>
      </c>
      <c r="AI231">
        <v>-1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ht="12.75">
      <c r="A232">
        <f>ROW(Source!A99)</f>
        <v>99</v>
      </c>
      <c r="B232">
        <v>55668616</v>
      </c>
      <c r="C232">
        <v>55668604</v>
      </c>
      <c r="D232">
        <v>53674465</v>
      </c>
      <c r="E232">
        <v>1</v>
      </c>
      <c r="F232">
        <v>1</v>
      </c>
      <c r="G232">
        <v>1</v>
      </c>
      <c r="H232">
        <v>3</v>
      </c>
      <c r="I232" t="s">
        <v>434</v>
      </c>
      <c r="J232" t="s">
        <v>435</v>
      </c>
      <c r="K232" t="s">
        <v>436</v>
      </c>
      <c r="L232">
        <v>1296</v>
      </c>
      <c r="N232">
        <v>1002</v>
      </c>
      <c r="O232" t="s">
        <v>437</v>
      </c>
      <c r="P232" t="s">
        <v>437</v>
      </c>
      <c r="Q232">
        <v>1</v>
      </c>
      <c r="X232">
        <v>22.2</v>
      </c>
      <c r="Y232">
        <v>46.86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G232">
        <v>22.2</v>
      </c>
      <c r="AH232">
        <v>2</v>
      </c>
      <c r="AI232">
        <v>55668616</v>
      </c>
      <c r="AJ232">
        <v>219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ht="12.75">
      <c r="A233">
        <f>ROW(Source!A102)</f>
        <v>102</v>
      </c>
      <c r="B233">
        <v>55668620</v>
      </c>
      <c r="C233">
        <v>55668619</v>
      </c>
      <c r="D233">
        <v>53630105</v>
      </c>
      <c r="E233">
        <v>70</v>
      </c>
      <c r="F233">
        <v>1</v>
      </c>
      <c r="G233">
        <v>1</v>
      </c>
      <c r="H233">
        <v>1</v>
      </c>
      <c r="I233" t="s">
        <v>438</v>
      </c>
      <c r="K233" t="s">
        <v>439</v>
      </c>
      <c r="L233">
        <v>1191</v>
      </c>
      <c r="N233">
        <v>1013</v>
      </c>
      <c r="O233" t="s">
        <v>358</v>
      </c>
      <c r="P233" t="s">
        <v>358</v>
      </c>
      <c r="Q233">
        <v>1</v>
      </c>
      <c r="X233">
        <v>26.56</v>
      </c>
      <c r="Y233">
        <v>0</v>
      </c>
      <c r="Z233">
        <v>0</v>
      </c>
      <c r="AA233">
        <v>0</v>
      </c>
      <c r="AB233">
        <v>9.51</v>
      </c>
      <c r="AC233">
        <v>0</v>
      </c>
      <c r="AD233">
        <v>1</v>
      </c>
      <c r="AE233">
        <v>1</v>
      </c>
      <c r="AF233" t="s">
        <v>118</v>
      </c>
      <c r="AG233">
        <v>30.543999999999997</v>
      </c>
      <c r="AH233">
        <v>2</v>
      </c>
      <c r="AI233">
        <v>55668620</v>
      </c>
      <c r="AJ233">
        <v>221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ht="12.75">
      <c r="A234">
        <f>ROW(Source!A102)</f>
        <v>102</v>
      </c>
      <c r="B234">
        <v>55668621</v>
      </c>
      <c r="C234">
        <v>55668619</v>
      </c>
      <c r="D234">
        <v>53630257</v>
      </c>
      <c r="E234">
        <v>70</v>
      </c>
      <c r="F234">
        <v>1</v>
      </c>
      <c r="G234">
        <v>1</v>
      </c>
      <c r="H234">
        <v>1</v>
      </c>
      <c r="I234" t="s">
        <v>359</v>
      </c>
      <c r="K234" t="s">
        <v>360</v>
      </c>
      <c r="L234">
        <v>1191</v>
      </c>
      <c r="N234">
        <v>1013</v>
      </c>
      <c r="O234" t="s">
        <v>358</v>
      </c>
      <c r="P234" t="s">
        <v>358</v>
      </c>
      <c r="Q234">
        <v>1</v>
      </c>
      <c r="X234">
        <v>0.14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2</v>
      </c>
      <c r="AF234" t="s">
        <v>117</v>
      </c>
      <c r="AG234">
        <v>0.17500000000000002</v>
      </c>
      <c r="AH234">
        <v>2</v>
      </c>
      <c r="AI234">
        <v>55668621</v>
      </c>
      <c r="AJ234">
        <v>222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ht="12.75">
      <c r="A235">
        <f>ROW(Source!A102)</f>
        <v>102</v>
      </c>
      <c r="B235">
        <v>55668622</v>
      </c>
      <c r="C235">
        <v>55668619</v>
      </c>
      <c r="D235">
        <v>53791997</v>
      </c>
      <c r="E235">
        <v>1</v>
      </c>
      <c r="F235">
        <v>1</v>
      </c>
      <c r="G235">
        <v>1</v>
      </c>
      <c r="H235">
        <v>2</v>
      </c>
      <c r="I235" t="s">
        <v>361</v>
      </c>
      <c r="J235" t="s">
        <v>362</v>
      </c>
      <c r="K235" t="s">
        <v>363</v>
      </c>
      <c r="L235">
        <v>1367</v>
      </c>
      <c r="N235">
        <v>1011</v>
      </c>
      <c r="O235" t="s">
        <v>364</v>
      </c>
      <c r="P235" t="s">
        <v>364</v>
      </c>
      <c r="Q235">
        <v>1</v>
      </c>
      <c r="X235">
        <v>0.09</v>
      </c>
      <c r="Y235">
        <v>0</v>
      </c>
      <c r="Z235">
        <v>115.4</v>
      </c>
      <c r="AA235">
        <v>13.5</v>
      </c>
      <c r="AB235">
        <v>0</v>
      </c>
      <c r="AC235">
        <v>0</v>
      </c>
      <c r="AD235">
        <v>1</v>
      </c>
      <c r="AE235">
        <v>0</v>
      </c>
      <c r="AF235" t="s">
        <v>117</v>
      </c>
      <c r="AG235">
        <v>0.11249999999999999</v>
      </c>
      <c r="AH235">
        <v>2</v>
      </c>
      <c r="AI235">
        <v>55668622</v>
      </c>
      <c r="AJ235">
        <v>223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ht="12.75">
      <c r="A236">
        <f>ROW(Source!A102)</f>
        <v>102</v>
      </c>
      <c r="B236">
        <v>55668623</v>
      </c>
      <c r="C236">
        <v>55668619</v>
      </c>
      <c r="D236">
        <v>53792927</v>
      </c>
      <c r="E236">
        <v>1</v>
      </c>
      <c r="F236">
        <v>1</v>
      </c>
      <c r="G236">
        <v>1</v>
      </c>
      <c r="H236">
        <v>2</v>
      </c>
      <c r="I236" t="s">
        <v>368</v>
      </c>
      <c r="J236" t="s">
        <v>369</v>
      </c>
      <c r="K236" t="s">
        <v>370</v>
      </c>
      <c r="L236">
        <v>1367</v>
      </c>
      <c r="N236">
        <v>1011</v>
      </c>
      <c r="O236" t="s">
        <v>364</v>
      </c>
      <c r="P236" t="s">
        <v>364</v>
      </c>
      <c r="Q236">
        <v>1</v>
      </c>
      <c r="X236">
        <v>0.05</v>
      </c>
      <c r="Y236">
        <v>0</v>
      </c>
      <c r="Z236">
        <v>65.71</v>
      </c>
      <c r="AA236">
        <v>11.6</v>
      </c>
      <c r="AB236">
        <v>0</v>
      </c>
      <c r="AC236">
        <v>0</v>
      </c>
      <c r="AD236">
        <v>1</v>
      </c>
      <c r="AE236">
        <v>0</v>
      </c>
      <c r="AF236" t="s">
        <v>117</v>
      </c>
      <c r="AG236">
        <v>0.0625</v>
      </c>
      <c r="AH236">
        <v>2</v>
      </c>
      <c r="AI236">
        <v>55668623</v>
      </c>
      <c r="AJ236">
        <v>224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ht="12.75">
      <c r="A237">
        <f>ROW(Source!A102)</f>
        <v>102</v>
      </c>
      <c r="B237">
        <v>55668624</v>
      </c>
      <c r="C237">
        <v>55668619</v>
      </c>
      <c r="D237">
        <v>53642567</v>
      </c>
      <c r="E237">
        <v>1</v>
      </c>
      <c r="F237">
        <v>1</v>
      </c>
      <c r="G237">
        <v>1</v>
      </c>
      <c r="H237">
        <v>3</v>
      </c>
      <c r="I237" t="s">
        <v>405</v>
      </c>
      <c r="J237" t="s">
        <v>406</v>
      </c>
      <c r="K237" t="s">
        <v>407</v>
      </c>
      <c r="L237">
        <v>1383</v>
      </c>
      <c r="N237">
        <v>1013</v>
      </c>
      <c r="O237" t="s">
        <v>408</v>
      </c>
      <c r="P237" t="s">
        <v>408</v>
      </c>
      <c r="Q237">
        <v>1</v>
      </c>
      <c r="X237">
        <v>5.5</v>
      </c>
      <c r="Y237">
        <v>0.4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G237">
        <v>5.5</v>
      </c>
      <c r="AH237">
        <v>2</v>
      </c>
      <c r="AI237">
        <v>55668624</v>
      </c>
      <c r="AJ237">
        <v>225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ht="12.75">
      <c r="A238">
        <f>ROW(Source!A102)</f>
        <v>102</v>
      </c>
      <c r="B238">
        <v>55668625</v>
      </c>
      <c r="C238">
        <v>55668619</v>
      </c>
      <c r="D238">
        <v>53630401</v>
      </c>
      <c r="E238">
        <v>70</v>
      </c>
      <c r="F238">
        <v>1</v>
      </c>
      <c r="G238">
        <v>1</v>
      </c>
      <c r="H238">
        <v>3</v>
      </c>
      <c r="I238" t="s">
        <v>472</v>
      </c>
      <c r="K238" t="s">
        <v>473</v>
      </c>
      <c r="L238">
        <v>1371</v>
      </c>
      <c r="N238">
        <v>1013</v>
      </c>
      <c r="O238" t="s">
        <v>109</v>
      </c>
      <c r="P238" t="s">
        <v>109</v>
      </c>
      <c r="Q238">
        <v>1</v>
      </c>
      <c r="X238">
        <v>100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G238">
        <v>100</v>
      </c>
      <c r="AH238">
        <v>3</v>
      </c>
      <c r="AI238">
        <v>-1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ht="12.75">
      <c r="A239">
        <f>ROW(Source!A103)</f>
        <v>103</v>
      </c>
      <c r="B239">
        <v>55668620</v>
      </c>
      <c r="C239">
        <v>55668619</v>
      </c>
      <c r="D239">
        <v>53630105</v>
      </c>
      <c r="E239">
        <v>70</v>
      </c>
      <c r="F239">
        <v>1</v>
      </c>
      <c r="G239">
        <v>1</v>
      </c>
      <c r="H239">
        <v>1</v>
      </c>
      <c r="I239" t="s">
        <v>438</v>
      </c>
      <c r="K239" t="s">
        <v>439</v>
      </c>
      <c r="L239">
        <v>1191</v>
      </c>
      <c r="N239">
        <v>1013</v>
      </c>
      <c r="O239" t="s">
        <v>358</v>
      </c>
      <c r="P239" t="s">
        <v>358</v>
      </c>
      <c r="Q239">
        <v>1</v>
      </c>
      <c r="X239">
        <v>26.56</v>
      </c>
      <c r="Y239">
        <v>0</v>
      </c>
      <c r="Z239">
        <v>0</v>
      </c>
      <c r="AA239">
        <v>0</v>
      </c>
      <c r="AB239">
        <v>9.51</v>
      </c>
      <c r="AC239">
        <v>0</v>
      </c>
      <c r="AD239">
        <v>1</v>
      </c>
      <c r="AE239">
        <v>1</v>
      </c>
      <c r="AF239" t="s">
        <v>118</v>
      </c>
      <c r="AG239">
        <v>30.543999999999997</v>
      </c>
      <c r="AH239">
        <v>2</v>
      </c>
      <c r="AI239">
        <v>55668620</v>
      </c>
      <c r="AJ239">
        <v>226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ht="12.75">
      <c r="A240">
        <f>ROW(Source!A103)</f>
        <v>103</v>
      </c>
      <c r="B240">
        <v>55668621</v>
      </c>
      <c r="C240">
        <v>55668619</v>
      </c>
      <c r="D240">
        <v>53630257</v>
      </c>
      <c r="E240">
        <v>70</v>
      </c>
      <c r="F240">
        <v>1</v>
      </c>
      <c r="G240">
        <v>1</v>
      </c>
      <c r="H240">
        <v>1</v>
      </c>
      <c r="I240" t="s">
        <v>359</v>
      </c>
      <c r="K240" t="s">
        <v>360</v>
      </c>
      <c r="L240">
        <v>1191</v>
      </c>
      <c r="N240">
        <v>1013</v>
      </c>
      <c r="O240" t="s">
        <v>358</v>
      </c>
      <c r="P240" t="s">
        <v>358</v>
      </c>
      <c r="Q240">
        <v>1</v>
      </c>
      <c r="X240">
        <v>0.14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2</v>
      </c>
      <c r="AF240" t="s">
        <v>117</v>
      </c>
      <c r="AG240">
        <v>0.17500000000000002</v>
      </c>
      <c r="AH240">
        <v>2</v>
      </c>
      <c r="AI240">
        <v>55668621</v>
      </c>
      <c r="AJ240">
        <v>227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ht="12.75">
      <c r="A241">
        <f>ROW(Source!A103)</f>
        <v>103</v>
      </c>
      <c r="B241">
        <v>55668622</v>
      </c>
      <c r="C241">
        <v>55668619</v>
      </c>
      <c r="D241">
        <v>53791997</v>
      </c>
      <c r="E241">
        <v>1</v>
      </c>
      <c r="F241">
        <v>1</v>
      </c>
      <c r="G241">
        <v>1</v>
      </c>
      <c r="H241">
        <v>2</v>
      </c>
      <c r="I241" t="s">
        <v>361</v>
      </c>
      <c r="J241" t="s">
        <v>362</v>
      </c>
      <c r="K241" t="s">
        <v>363</v>
      </c>
      <c r="L241">
        <v>1367</v>
      </c>
      <c r="N241">
        <v>1011</v>
      </c>
      <c r="O241" t="s">
        <v>364</v>
      </c>
      <c r="P241" t="s">
        <v>364</v>
      </c>
      <c r="Q241">
        <v>1</v>
      </c>
      <c r="X241">
        <v>0.09</v>
      </c>
      <c r="Y241">
        <v>0</v>
      </c>
      <c r="Z241">
        <v>115.4</v>
      </c>
      <c r="AA241">
        <v>13.5</v>
      </c>
      <c r="AB241">
        <v>0</v>
      </c>
      <c r="AC241">
        <v>0</v>
      </c>
      <c r="AD241">
        <v>1</v>
      </c>
      <c r="AE241">
        <v>0</v>
      </c>
      <c r="AF241" t="s">
        <v>117</v>
      </c>
      <c r="AG241">
        <v>0.11249999999999999</v>
      </c>
      <c r="AH241">
        <v>2</v>
      </c>
      <c r="AI241">
        <v>55668622</v>
      </c>
      <c r="AJ241">
        <v>228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ht="12.75">
      <c r="A242">
        <f>ROW(Source!A103)</f>
        <v>103</v>
      </c>
      <c r="B242">
        <v>55668623</v>
      </c>
      <c r="C242">
        <v>55668619</v>
      </c>
      <c r="D242">
        <v>53792927</v>
      </c>
      <c r="E242">
        <v>1</v>
      </c>
      <c r="F242">
        <v>1</v>
      </c>
      <c r="G242">
        <v>1</v>
      </c>
      <c r="H242">
        <v>2</v>
      </c>
      <c r="I242" t="s">
        <v>368</v>
      </c>
      <c r="J242" t="s">
        <v>369</v>
      </c>
      <c r="K242" t="s">
        <v>370</v>
      </c>
      <c r="L242">
        <v>1367</v>
      </c>
      <c r="N242">
        <v>1011</v>
      </c>
      <c r="O242" t="s">
        <v>364</v>
      </c>
      <c r="P242" t="s">
        <v>364</v>
      </c>
      <c r="Q242">
        <v>1</v>
      </c>
      <c r="X242">
        <v>0.05</v>
      </c>
      <c r="Y242">
        <v>0</v>
      </c>
      <c r="Z242">
        <v>65.71</v>
      </c>
      <c r="AA242">
        <v>11.6</v>
      </c>
      <c r="AB242">
        <v>0</v>
      </c>
      <c r="AC242">
        <v>0</v>
      </c>
      <c r="AD242">
        <v>1</v>
      </c>
      <c r="AE242">
        <v>0</v>
      </c>
      <c r="AF242" t="s">
        <v>117</v>
      </c>
      <c r="AG242">
        <v>0.0625</v>
      </c>
      <c r="AH242">
        <v>2</v>
      </c>
      <c r="AI242">
        <v>55668623</v>
      </c>
      <c r="AJ242">
        <v>229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ht="12.75">
      <c r="A243">
        <f>ROW(Source!A103)</f>
        <v>103</v>
      </c>
      <c r="B243">
        <v>55668624</v>
      </c>
      <c r="C243">
        <v>55668619</v>
      </c>
      <c r="D243">
        <v>53642567</v>
      </c>
      <c r="E243">
        <v>1</v>
      </c>
      <c r="F243">
        <v>1</v>
      </c>
      <c r="G243">
        <v>1</v>
      </c>
      <c r="H243">
        <v>3</v>
      </c>
      <c r="I243" t="s">
        <v>405</v>
      </c>
      <c r="J243" t="s">
        <v>406</v>
      </c>
      <c r="K243" t="s">
        <v>407</v>
      </c>
      <c r="L243">
        <v>1383</v>
      </c>
      <c r="N243">
        <v>1013</v>
      </c>
      <c r="O243" t="s">
        <v>408</v>
      </c>
      <c r="P243" t="s">
        <v>408</v>
      </c>
      <c r="Q243">
        <v>1</v>
      </c>
      <c r="X243">
        <v>5.5</v>
      </c>
      <c r="Y243">
        <v>0.4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G243">
        <v>5.5</v>
      </c>
      <c r="AH243">
        <v>2</v>
      </c>
      <c r="AI243">
        <v>55668624</v>
      </c>
      <c r="AJ243">
        <v>230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ht="12.75">
      <c r="A244">
        <f>ROW(Source!A103)</f>
        <v>103</v>
      </c>
      <c r="B244">
        <v>55668625</v>
      </c>
      <c r="C244">
        <v>55668619</v>
      </c>
      <c r="D244">
        <v>53630401</v>
      </c>
      <c r="E244">
        <v>70</v>
      </c>
      <c r="F244">
        <v>1</v>
      </c>
      <c r="G244">
        <v>1</v>
      </c>
      <c r="H244">
        <v>3</v>
      </c>
      <c r="I244" t="s">
        <v>472</v>
      </c>
      <c r="K244" t="s">
        <v>473</v>
      </c>
      <c r="L244">
        <v>1371</v>
      </c>
      <c r="N244">
        <v>1013</v>
      </c>
      <c r="O244" t="s">
        <v>109</v>
      </c>
      <c r="P244" t="s">
        <v>109</v>
      </c>
      <c r="Q244">
        <v>1</v>
      </c>
      <c r="X244">
        <v>100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G244">
        <v>100</v>
      </c>
      <c r="AH244">
        <v>3</v>
      </c>
      <c r="AI244">
        <v>-1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2023-09-12T10:01:23Z</cp:lastPrinted>
  <dcterms:created xsi:type="dcterms:W3CDTF">2023-09-12T09:54:25Z</dcterms:created>
  <dcterms:modified xsi:type="dcterms:W3CDTF">2023-09-26T07:06:29Z</dcterms:modified>
  <cp:category/>
  <cp:version/>
  <cp:contentType/>
  <cp:contentStatus/>
</cp:coreProperties>
</file>