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30" activeTab="0"/>
  </bookViews>
  <sheets>
    <sheet name="Смета для ТЕР МО 421пр (12" sheetId="1" r:id="rId1"/>
    <sheet name="Ведомость объемов работ" sheetId="2" r:id="rId2"/>
    <sheet name="Акт КС-2 8 граф" sheetId="3" r:id="rId3"/>
    <sheet name="Дефектная ведомость" sheetId="4" r:id="rId4"/>
    <sheet name="Source" sheetId="5" r:id="rId5"/>
    <sheet name="SourceObSm" sheetId="6" r:id="rId6"/>
    <sheet name="SmtRes" sheetId="7" r:id="rId7"/>
    <sheet name="EtalonRes" sheetId="8" r:id="rId8"/>
  </sheets>
  <definedNames>
    <definedName name="_xlnm.Print_Titles" localSheetId="2">'Акт КС-2 8 граф'!$35:$35</definedName>
    <definedName name="_xlnm.Print_Titles" localSheetId="1">'Ведомость объемов работ'!$17:$17</definedName>
    <definedName name="_xlnm.Print_Titles" localSheetId="3">'Дефектная ведомость'!$18:$18</definedName>
    <definedName name="_xlnm.Print_Titles" localSheetId="0">'Смета для ТЕР МО 421пр (12'!$46:$46</definedName>
    <definedName name="_xlnm.Print_Area" localSheetId="2">'Акт КС-2 8 граф'!$A$1:$H$230</definedName>
    <definedName name="_xlnm.Print_Area" localSheetId="1">'Ведомость объемов работ'!$A$1:$H$44</definedName>
    <definedName name="_xlnm.Print_Area" localSheetId="3">'Дефектная ведомость'!$A$1:$E$45</definedName>
    <definedName name="_xlnm.Print_Area" localSheetId="0">'Смета для ТЕР МО 421пр (12'!$A$1:$L$269</definedName>
  </definedNames>
  <calcPr fullCalcOnLoad="1"/>
</workbook>
</file>

<file path=xl/sharedStrings.xml><?xml version="1.0" encoding="utf-8"?>
<sst xmlns="http://schemas.openxmlformats.org/spreadsheetml/2006/main" count="4635" uniqueCount="534">
  <si>
    <t>Smeta.RU  (495) 974-1589</t>
  </si>
  <si>
    <t>_PS_</t>
  </si>
  <si>
    <t>Smeta.RU</t>
  </si>
  <si>
    <t/>
  </si>
  <si>
    <t>Выполнение работ по текущему ремонту кровли ИПУ РАН строения 4</t>
  </si>
  <si>
    <t>Степанова А.М.</t>
  </si>
  <si>
    <t>Ведущий инженер РЕСО</t>
  </si>
  <si>
    <t>Покшин В.И.</t>
  </si>
  <si>
    <t>Заведующий РЕСО</t>
  </si>
  <si>
    <t>Муравьев К.В.</t>
  </si>
  <si>
    <t>Главный инженер</t>
  </si>
  <si>
    <t>ИПУ РАН</t>
  </si>
  <si>
    <t>Сметные нормы списания</t>
  </si>
  <si>
    <t>Коды ценников</t>
  </si>
  <si>
    <t>ФЕР-2020 И9 приказы НР № 812/пр, СП № 774/пр</t>
  </si>
  <si>
    <t>Версия 1.7.0 ГСН (ГЭСН, ФЕР) и ТЕР (Методики НР (812/пр, 636/пр, 611/пр) и СП (774/пр и 317/пр) применять с 08.01.2023 г.)</t>
  </si>
  <si>
    <t>ФЕР-2020 - изменения И9</t>
  </si>
  <si>
    <t>Поправки для ГСН (ФЕР) 2020 от 11.09.2022 г И9 (в ред. 557/пр) Капитальный ремонт жилых и общественных зданий</t>
  </si>
  <si>
    <t>ГСН</t>
  </si>
  <si>
    <t>Новый раздел</t>
  </si>
  <si>
    <t>Демонтажные работы</t>
  </si>
  <si>
    <t>1</t>
  </si>
  <si>
    <t>46-04-008-01</t>
  </si>
  <si>
    <t>Разборка покрытий кровель: из рулонных материалов</t>
  </si>
  <si>
    <t>100 м2</t>
  </si>
  <si>
    <t>ФЕР-2001, 46-04-008-01, приказ Минстроя России № 876/пр от 26.12.2019</t>
  </si>
  <si>
    <t>=91</t>
  </si>
  <si>
    <t>=52</t>
  </si>
  <si>
    <t>Общестроительные работы</t>
  </si>
  <si>
    <t>Работы по реконструкции зданий и сооружений</t>
  </si>
  <si>
    <t>Работы по реконструкции зданий и сооружений: усиление и замена существующих конструкций, возведение отдельных конструктивных элементов</t>
  </si>
  <si>
    <t>ФЕР-46</t>
  </si>
  <si>
    <t>Пр/812-040.1-1</t>
  </si>
  <si>
    <t>Пр/774-040.1</t>
  </si>
  <si>
    <t>Письмо Минстроя России от 28.08.2023 № 52355-ИФ/09</t>
  </si>
  <si>
    <t>2</t>
  </si>
  <si>
    <t>11-01-011-01</t>
  </si>
  <si>
    <t>Разборка стяжек: цементных толщиной 20 мм (Применительно)</t>
  </si>
  <si>
    <t>ФЕР-2001 доп. 2, 11-01-011-01, приказ Минстроя России № 294/пр от 01.06.2020</t>
  </si>
  <si>
    <t>Поправка: МР 571/пр Табл.2, п.1  Наименование: При демонтаже (разборке) сборных бетонных и железобетонных конструкций</t>
  </si>
  <si>
    <t>)*0</t>
  </si>
  <si>
    <t>)*0,8</t>
  </si>
  <si>
    <t>Полы</t>
  </si>
  <si>
    <t>ФЕР-11</t>
  </si>
  <si>
    <t>Поправка: МР 571/пр Табл.2, п.1</t>
  </si>
  <si>
    <t>Пр/812-011.0-1</t>
  </si>
  <si>
    <t>Пр/774-011.0</t>
  </si>
  <si>
    <t>2,1</t>
  </si>
  <si>
    <t>01.7.03.01-0001</t>
  </si>
  <si>
    <t>Вода</t>
  </si>
  <si>
    <t>м3</t>
  </si>
  <si>
    <t>ФССЦ-2001, 01.7.03.01-0001, приказ Минстроя России № 876/пр от 26.12.2019</t>
  </si>
  <si>
    <t>3</t>
  </si>
  <si>
    <t>11-01-011-04</t>
  </si>
  <si>
    <t>Разборка стяжек: на каждые 5 мм изменения толщины стяжки добавлять или исключать к расценке 11-01-011-03 (К=2, добавить 10 мм, разборка 30 мм стяжки) Применительно</t>
  </si>
  <si>
    <t>ФЕР-2001 доп. 2, 11-01-011-04, приказ Минстроя России № 294/пр от 01.06.2020</t>
  </si>
  <si>
    <t>)*0)*2</t>
  </si>
  <si>
    <t>)*0,8)*2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</si>
  <si>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</si>
  <si>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</si>
  <si>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</si>
  <si>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</si>
  <si>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</si>
  <si>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</si>
  <si>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</si>
  <si>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</si>
  <si>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</si>
  <si>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</si>
  <si>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</si>
  <si>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</si>
  <si>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</si>
  <si>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</si>
  <si>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</si>
  <si>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</si>
  <si>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</si>
  <si>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</si>
  <si>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</si>
  <si>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</si>
  <si>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</si>
  <si>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</si>
  <si>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</si>
  <si>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</si>
  <si>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</si>
  <si>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</si>
  <si>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</si>
  <si>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</si>
  <si>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</si>
  <si>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</si>
  <si>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</si>
  <si>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</si>
  <si>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</si>
  <si>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</si>
  <si>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</si>
  <si>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</si>
  <si>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</si>
  <si>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</si>
  <si>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</si>
  <si>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</si>
  <si>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</si>
  <si>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</si>
  <si>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</si>
  <si>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</si>
  <si>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</si>
  <si>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</si>
  <si>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</si>
  <si>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</si>
  <si>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</si>
  <si>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</si>
  <si>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</si>
  <si>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</si>
  <si>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</si>
  <si>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</si>
  <si>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Монтажные работы</t>
  </si>
  <si>
    <t>4</t>
  </si>
  <si>
    <t>12-01-017-01</t>
  </si>
  <si>
    <t>Устройство выравнивающих стяжек: цементно-песчаных толщиной 15 мм</t>
  </si>
  <si>
    <t>ФЕР-2001, 12-01-017-01, приказ Минстроя России № 876/пр от 26.12.2019</t>
  </si>
  <si>
    <t>)*1,25</t>
  </si>
  <si>
    <t>)*1,15</t>
  </si>
  <si>
    <t>)*0,9</t>
  </si>
  <si>
    <t>)*0,85</t>
  </si>
  <si>
    <t>Кровли</t>
  </si>
  <si>
    <t>ФЕР-12</t>
  </si>
  <si>
    <t>Поправка: М-ка 421/пр 04.08.20 п.58 п.п. б)</t>
  </si>
  <si>
    <t>Пр/812-012.0-1</t>
  </si>
  <si>
    <t>Пр/774-012.0</t>
  </si>
  <si>
    <t>4,1</t>
  </si>
  <si>
    <t>04.3.02.11-0011</t>
  </si>
  <si>
    <t>Смеси сухие цементные (пескобетон), класс B22,5 (M300)</t>
  </si>
  <si>
    <t>т</t>
  </si>
  <si>
    <t>ФССЦ-2001, 04.3.02.11-0011, приказ Минстроя России № 876/пр от 26.12.2019</t>
  </si>
  <si>
    <t>5</t>
  </si>
  <si>
    <t>12-01-017-02</t>
  </si>
  <si>
    <t>Устройство выравнивающих стяжек: на каждый 1 мм изменения толщины добавлять или исключать к расценке 12-01-017-01 (К=15, до 30 мм)</t>
  </si>
  <si>
    <t>ФЕР-2001, 12-01-017-02, приказ Минстроя России № 876/пр от 26.12.2019</t>
  </si>
  <si>
    <t>)*15</t>
  </si>
  <si>
    <t>)*1,25)*15</t>
  </si>
  <si>
    <t>)*1,15)*15</t>
  </si>
  <si>
    <t>5,1</t>
  </si>
  <si>
    <t>6</t>
  </si>
  <si>
    <t>12-01-016-02</t>
  </si>
  <si>
    <t>Огрунтовка оснований из бетона или раствора под водоизоляционный кровельный ковер: готовой эмульсией битумной</t>
  </si>
  <si>
    <t>ФЕР-2001, 12-01-016-02, приказ Минстроя России № 876/пр от 26.12.2019</t>
  </si>
  <si>
    <t>7</t>
  </si>
  <si>
    <t>12-01-010-01</t>
  </si>
  <si>
    <t>Устройство мелких покрытий (брандмауэры, парапеты, свесы и т.п.) из листовой оцинкованной стали</t>
  </si>
  <si>
    <t>ФЕР-2001, 12-01-010-01, приказ Минстроя России № 876/пр от 26.12.2019</t>
  </si>
  <si>
    <t>8</t>
  </si>
  <si>
    <t>12-01-002-09</t>
  </si>
  <si>
    <t>Устройство кровель плоских из наплавляемых материалов в два слоя</t>
  </si>
  <si>
    <t>ФЕР-2001 доп.5, 12-01-002-09, приказ Минстроя России № 51/пр от 09.02.2021</t>
  </si>
  <si>
    <t>8,1</t>
  </si>
  <si>
    <t>12.1.02.15-0122</t>
  </si>
  <si>
    <t>Материал рулонный битумно-полимерный кровельный и гидроизоляционный ТПП/ЭПП/ХПП, для нижнего слоя кровли, основа-стеклоткань/полиэстер/стеклохолст, гибкость не выше -25 °C, масса 1 м2 от 3,5 до 4,0 кг, прочность 390-590 Н, теплостойкость не менее 100 °C</t>
  </si>
  <si>
    <t>м2</t>
  </si>
  <si>
    <t>ФССЦ-2001, 12.1.02.15-0122, приказ Минстроя России № 876/пр от 26.12.2019</t>
  </si>
  <si>
    <t>8,2</t>
  </si>
  <si>
    <t>12.1.02.15-0121</t>
  </si>
  <si>
    <t>Материал рулонный битумно-полимерный кровельный и гидроизоляционный ТКП/ЭКП/ХКП, для верхнего слоя кровли, основа-стеклоткань/полиэстер/стеклохолст, гибкость не выше -25 °C, масса 1 м2 4,5 кг, прочность 390-590 Н, теплостойкость не менее 100 °C</t>
  </si>
  <si>
    <t>ФССЦ-2001, 12.1.02.15-0121, приказ Минстроя России № 876/пр от 26.12.2019</t>
  </si>
  <si>
    <t>9</t>
  </si>
  <si>
    <t>12-01-004-04</t>
  </si>
  <si>
    <t>Устройство примыканий кровель из наплавляемых материалов к стенам и парапетам высотой: до 600 мм без фартуков</t>
  </si>
  <si>
    <t>100 м</t>
  </si>
  <si>
    <t>ФЕР-2001, 12-01-004-04, приказ Минстроя России № 876/пр от 26.12.2019</t>
  </si>
  <si>
    <t>9,1</t>
  </si>
  <si>
    <t>9,2</t>
  </si>
  <si>
    <t>Разные работы</t>
  </si>
  <si>
    <t>10</t>
  </si>
  <si>
    <t>69-15-1</t>
  </si>
  <si>
    <t>Затаривание строительного мусора в мешки</t>
  </si>
  <si>
    <t>ФЕРр-2001, 69-15-1, приказ Минстроя России № 876/пр от 26.12.2019</t>
  </si>
  <si>
    <t>Ремонтно-строительные работы</t>
  </si>
  <si>
    <t>Прочие ремонтно-строительные работы</t>
  </si>
  <si>
    <t>рФЕР-69</t>
  </si>
  <si>
    <t>Пр/812-103.0-1</t>
  </si>
  <si>
    <t>Пр/774-103.0</t>
  </si>
  <si>
    <t>11</t>
  </si>
  <si>
    <t>т01-01-01-041</t>
  </si>
  <si>
    <t>Погрузочные работы при автомобильных перевозках мусора строительного с погрузкой вручную</t>
  </si>
  <si>
    <t>1 Т ГРУЗА</t>
  </si>
  <si>
    <t>ФССЦпг-2001, т01-01-01-041, приказ Минстроя России №876/пр от 26.12.2019</t>
  </si>
  <si>
    <t>Погрузочно-разгрузочные работы</t>
  </si>
  <si>
    <t>ФССЦпр  пог. а/п (2011,изм. 4-6)</t>
  </si>
  <si>
    <t>12</t>
  </si>
  <si>
    <t>т03-01-01-050</t>
  </si>
  <si>
    <t>Перевозка грузов I класса автомобилями бортовыми грузоподъемностью до 15 т на расстояние: 50 км (Приказ от 06.11.2020 № МКЭ-ОД/20-68 прил. 2 по ЮЗАО - 50 км) Применительно</t>
  </si>
  <si>
    <t>ФССЦпг-2001, т03-01-01-050, приказ Минстроя России №876/пр от 26.12.2019</t>
  </si>
  <si>
    <t>Автомобили бортовые</t>
  </si>
  <si>
    <t>Перевозка строительных грузов автомобильным транспортом</t>
  </si>
  <si>
    <t>ФССЦпр , изм. 7</t>
  </si>
  <si>
    <t>НДС</t>
  </si>
  <si>
    <t>НДС 20%</t>
  </si>
  <si>
    <t>Итого</t>
  </si>
  <si>
    <t>ВСЕГО ПО СМЕТЕ</t>
  </si>
  <si>
    <t>Всего по смете</t>
  </si>
  <si>
    <t>Итого с НДС</t>
  </si>
  <si>
    <t>111</t>
  </si>
  <si>
    <t>Новая переменная</t>
  </si>
  <si>
    <t>Переменная_1</t>
  </si>
  <si>
    <t>Переменная_2</t>
  </si>
  <si>
    <t>СТР_РЕК</t>
  </si>
  <si>
    <t>СТРОИТЕЛЬСТВО и РЕКОНСТРУКЦИЯ  зданий и сооружений всех назначений</t>
  </si>
  <si>
    <t>Строительство и реконструкция</t>
  </si>
  <si>
    <t>РЕМ_ЖИЛ</t>
  </si>
  <si>
    <t>КАП. РЕМ. ЖИЛЫХ И ОБЩЕСТВЕННЫХ ЗДАНИЙ</t>
  </si>
  <si>
    <t>Капитальный ремонт жилых и общественных зданий</t>
  </si>
  <si>
    <t>РЕМ_ПР</t>
  </si>
  <si>
    <t>КАП. РЕМ. ПРОИЗВОДСТВЕННЫХ ЗД. и СООРУЖЕНИЙ,  НАРУЖНЫХ ИНЖЕНЕРНЫХ СЕТЕЙ, УЛИЦ И ДОРОГ МЕСТНОГО ЗНАЧЕНИЯ, ИНЖ,СООРУЖЕНИЙ ( ГИДРОТЕХ,СООРУЖ, МОСТОВ И ПУТЕПРОВОДОВ И Т.П.)</t>
  </si>
  <si>
    <t>Капитальный ремонт прозводственных зданий</t>
  </si>
  <si>
    <t>Территория</t>
  </si>
  <si>
    <t>для территории Российской Федерации, не относящейся к районам Крайнего Севера и приравненным к ним местностям</t>
  </si>
  <si>
    <t>МПРКС</t>
  </si>
  <si>
    <t>для территории Российской Федерации, относящейся к местностям, приравненным к районам Крайнего Севера</t>
  </si>
  <si>
    <t>РКС</t>
  </si>
  <si>
    <t>для территории Российской Федерации, относящейся к районам Крайнего Севера</t>
  </si>
  <si>
    <t>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</si>
  <si>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АЭС.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</si>
  <si>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</si>
  <si>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Сложные объекты</t>
  </si>
  <si>
    <t>СТНДРТ</t>
  </si>
  <si>
    <t>При определении сметной стоимости строительства объектов капитального строительства (за исключением АЭС).</t>
  </si>
  <si>
    <t>АЭС_ПНР</t>
  </si>
  <si>
    <t>При определении сметной стоимости строительства объектов капитального строительства АЭС. Пусконаладочные работы (за исключением технологического оборудования АЭС).</t>
  </si>
  <si>
    <t>АЭС_ПНР_ТЕХ</t>
  </si>
  <si>
    <t>При определении сметной стоимости строительства объектов капитального строительства АЭС. Пусконаладочные работы технологического оборудования АЭС.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</si>
  <si>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</si>
  <si>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АЭС</t>
  </si>
  <si>
    <t>ОПТ/В</t>
  </si>
  <si>
    <t>{вкл}    - Прокладка  МЕЖДУГОРОДНЫХ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</si>
  <si>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</si>
  <si>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Прокладка междугородных в/опт. кабелей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</si>
  <si>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</si>
  <si>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</si>
  <si>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</si>
  <si>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Диспетчеризация авитранспорта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</si>
  <si>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</si>
  <si>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</si>
  <si>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</si>
  <si>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Производство работ закрытым способом (обслуживающие процессы)</t>
  </si>
  <si>
    <t>ГОР</t>
  </si>
  <si>
    <t>(вкл) - ФЕРм-08, выполнение работ на горнорудных объектах  (выкл) - ФЕРм-08, выполнение работ на других объектах</t>
  </si>
  <si>
    <t>Выполнение работ на горнорудных объектах</t>
  </si>
  <si>
    <t>ОБ_ПР</t>
  </si>
  <si>
    <t>Объект производственного назначения</t>
  </si>
  <si>
    <t>ОБ_НПР</t>
  </si>
  <si>
    <t>Объект непроизводственного назначения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</si>
  <si>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</si>
  <si>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</si>
  <si>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</si>
  <si>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п.25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</si>
  <si>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</si>
  <si>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</si>
  <si>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</si>
  <si>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п.16</t>
  </si>
  <si>
    <t>К_НР_СЛЖ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</si>
  <si>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объектов атомных электрических станций.  ( если {СЛЖ} = [вкл] )</t>
  </si>
  <si>
    <t>п.27 СЛОЖН</t>
  </si>
  <si>
    <t>К_НР_АЭС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</si>
  <si>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Для объектов атомных электрических станций.  ( если {АЭС} = [вкл] )</t>
  </si>
  <si>
    <t>п.27 АЭС</t>
  </si>
  <si>
    <t>Р_ОКР</t>
  </si>
  <si>
    <t>Разрядность округления результата расчета НР и СП  (с 05.04.2020 - до семи знаков после запятой)</t>
  </si>
  <si>
    <t>Лист_НРиСП</t>
  </si>
  <si>
    <t>Базовый уровень цен</t>
  </si>
  <si>
    <t>Новый уровень цен</t>
  </si>
  <si>
    <t>Индексы за итогом</t>
  </si>
  <si>
    <t>_OBSM_</t>
  </si>
  <si>
    <t>1-100-20</t>
  </si>
  <si>
    <t>Рабочий среднего разряда 2</t>
  </si>
  <si>
    <t>чел.-ч.</t>
  </si>
  <si>
    <t>91.06.03-055</t>
  </si>
  <si>
    <t>ФСЭМ-2001, 91.06.03-055 , приказ Минстроя России № 876/пр от 26.12.2019</t>
  </si>
  <si>
    <t>Лебедки электрические тяговым усилием 19,62 кН (2 т)</t>
  </si>
  <si>
    <t>маш.-ч</t>
  </si>
  <si>
    <t>1-100-22</t>
  </si>
  <si>
    <t>Затраты труда рабочих (Средний разряд - 2,2)</t>
  </si>
  <si>
    <t>4-100-00</t>
  </si>
  <si>
    <t>Затраты труда машинистов</t>
  </si>
  <si>
    <t>91.06.06-048</t>
  </si>
  <si>
    <t>ФСЭМ-2001, 91.06.06-048 , приказ Минстроя России № 876/пр от 26.12.2019</t>
  </si>
  <si>
    <t>Подъемники одномачтовые, грузоподъемность до 500 кг, высота подъема 45 м</t>
  </si>
  <si>
    <t>маш.-ч.</t>
  </si>
  <si>
    <t>91.07.04-002</t>
  </si>
  <si>
    <t>ФСЭМ-2001, 91.07.04-002 , приказ Минстроя России № 876/пр от 26.12.2019</t>
  </si>
  <si>
    <t>Вибраторы поверхностные</t>
  </si>
  <si>
    <t>Затраты труда рабочих (Средний разряд - 2)</t>
  </si>
  <si>
    <t>1-100-31</t>
  </si>
  <si>
    <t>Рабочий среднего разряда 3.1</t>
  </si>
  <si>
    <t>4-100-0</t>
  </si>
  <si>
    <t>91.05.01-017</t>
  </si>
  <si>
    <t>ФСЭМ-2001, 91.05.01-017 , приказ Минстроя России № 876/пр от 26.12.2019</t>
  </si>
  <si>
    <t>Краны башенные, грузоподъемность 8 т</t>
  </si>
  <si>
    <t>91.06.05-011</t>
  </si>
  <si>
    <t>ФСЭМ-2001, 91.06.05-011 , приказ Минстроя России № 876/пр от 26.12.2019</t>
  </si>
  <si>
    <t>Погрузчики, грузоподъемность 5 т</t>
  </si>
  <si>
    <t>91.07.07-001</t>
  </si>
  <si>
    <t>ФСЭМ-2001, 91.07.07-001 , приказ Минстроя России № 876/пр от 26.12.2019</t>
  </si>
  <si>
    <t>Агрегаты электронасосные с регулированием подачи вручную для строительных растворов, подача до 4 м3/ч, напор 150 м</t>
  </si>
  <si>
    <t>12.1.02.06-0022</t>
  </si>
  <si>
    <t>ФССЦ-2001, 12.1.02.06-0022, приказ Минстроя России № 876/пр от 26.12.2019</t>
  </si>
  <si>
    <t>Рубероид кровельный РКП-350</t>
  </si>
  <si>
    <t>1-100-32</t>
  </si>
  <si>
    <t>Рабочий среднего разряда 3.2</t>
  </si>
  <si>
    <t>91.14.02-001</t>
  </si>
  <si>
    <t>ФСЭМ-2001, 91.14.02-001 , приказ Минстроя России № 876/пр от 26.12.2019</t>
  </si>
  <si>
    <t>Автомобили бортовые, грузоподъемность до 5 т</t>
  </si>
  <si>
    <t>01.2.03.07-0022</t>
  </si>
  <si>
    <t>ФССЦ-2001, 01.2.03.07-0022, приказ Минстроя России № 876/пр от 26.12.2019</t>
  </si>
  <si>
    <t>Эмульсия битумная гидроизоляционная</t>
  </si>
  <si>
    <t>1-100-30</t>
  </si>
  <si>
    <t>Затраты труда рабочих (Средний разряд - 3)</t>
  </si>
  <si>
    <t>01.7.15.06-0146</t>
  </si>
  <si>
    <t>ФССЦ-2001, 01.7.15.06-0146, приказ Минстроя России № 876/пр от 26.12.2019</t>
  </si>
  <si>
    <t>Гвозди толевые круглые, размер 3,0x40 мм</t>
  </si>
  <si>
    <t>08.3.03.05-0002</t>
  </si>
  <si>
    <t>ФССЦ-2001, 08.3.03.05-0002, приказ Минстроя России № 876/пр от 26.12.2019</t>
  </si>
  <si>
    <t>Проволока канатная оцинкованная, диаметр 3 мм</t>
  </si>
  <si>
    <t>08.3.05.05-0051</t>
  </si>
  <si>
    <t>ФССЦ-2001, 08.3.05.05-0051, приказ Минстроя России № 876/пр от 26.12.2019</t>
  </si>
  <si>
    <t>Сталь листовая оцинкованная, толщина 0,5 мм</t>
  </si>
  <si>
    <t>1-100-38</t>
  </si>
  <si>
    <t>Рабочий среднего разряда 3.8</t>
  </si>
  <si>
    <t>91.05.05-015</t>
  </si>
  <si>
    <t>ФСЭМ-2001, 91.05.05-015 , приказ Минстроя России № 876/пр от 26.12.2019</t>
  </si>
  <si>
    <t>Краны на автомобильном ходу, грузоподъемность 16 т</t>
  </si>
  <si>
    <t>01.3.02.09-0022</t>
  </si>
  <si>
    <t>ФССЦ-2001, 01.3.02.09-0022, приказ Минстроя России № 876/пр от 26.12.2019</t>
  </si>
  <si>
    <t>Пропан-бутан смесь техническая</t>
  </si>
  <si>
    <t>кг</t>
  </si>
  <si>
    <t>1-100-36</t>
  </si>
  <si>
    <t>Рабочий среднего разряда 3.6</t>
  </si>
  <si>
    <t>04.3.01.09-0014</t>
  </si>
  <si>
    <t>ФССЦ-2001, 04.3.01.09-0014, приказ Минстроя России № 876/пр от 26.12.2019</t>
  </si>
  <si>
    <t>Раствор готовый кладочный, цементный, М100</t>
  </si>
  <si>
    <t>1-100-10</t>
  </si>
  <si>
    <t>Рабочий среднего разряда 1</t>
  </si>
  <si>
    <t>01.7.20.03-0003</t>
  </si>
  <si>
    <t>ФССЦ-2001, 01.7.20.03-0003, приказ Минстроя России № 876/пр от 26.12.2019</t>
  </si>
  <si>
    <t>Мешки полипропиленовые (50 кг)</t>
  </si>
  <si>
    <t>100 ШТ</t>
  </si>
  <si>
    <t>04.3.01.09</t>
  </si>
  <si>
    <t>Раствор готовый кладочный тяжелый цементный</t>
  </si>
  <si>
    <t>04.1.02.05</t>
  </si>
  <si>
    <t>Смеси бетонные тяжелого бетона</t>
  </si>
  <si>
    <t>12.1.02.15</t>
  </si>
  <si>
    <t>Материалы рулонные кровельные для верхнего слоя</t>
  </si>
  <si>
    <t>Материалы рулонные кровельные для нижних слоев</t>
  </si>
  <si>
    <t>Материалы рулонные кровельные наплавляемые</t>
  </si>
  <si>
    <t>ГОСУДАРСТВЕННЫЕ СМЕТНЫЕ НОРМАТИВЫ (ФЕР-2020), утвержденные приказами Минстроя России от 26 декабря 2019 г.   № 876/пр (в редакции приказов Минстроя РФ от 30 марта 2020 г. № 172/пр, от 1 июня 2020 г. № 294/пр, от 30 июня 2020 г. № 352/пр,   от 20 октября 2020 г. № 636/пр, от 9 февраля 2021 г. № 51/пр, от 24 мая 2021 г. № 321/пр, от 24 июня 2021 г. № 408/пр,  от 14 октября 2021 № 746/пр, от 20 декабря 2021 № 962/пр)</t>
  </si>
  <si>
    <t>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t>
  </si>
  <si>
    <t>"СОГЛАСОВАНО"</t>
  </si>
  <si>
    <t>"УТВЕРЖДАЮ"</t>
  </si>
  <si>
    <t>"_____"________________ 2023 г.</t>
  </si>
  <si>
    <t>Главный инженер ИПУ РАН</t>
  </si>
  <si>
    <t>(наименование стройки)</t>
  </si>
  <si>
    <t>(наименование объекта капитального строительства)</t>
  </si>
  <si>
    <t>(наименование конструктивного решения)</t>
  </si>
  <si>
    <t>Составлен</t>
  </si>
  <si>
    <t>метод</t>
  </si>
  <si>
    <t>Основание</t>
  </si>
  <si>
    <t>(проектная и (или) иная техническая документация)</t>
  </si>
  <si>
    <t>Сметная стоимость</t>
  </si>
  <si>
    <t>тыс. руб.</t>
  </si>
  <si>
    <t>Средства на оплату труда</t>
  </si>
  <si>
    <t>в том числе:</t>
  </si>
  <si>
    <t>рабочих</t>
  </si>
  <si>
    <t xml:space="preserve"> </t>
  </si>
  <si>
    <t>строительных работ</t>
  </si>
  <si>
    <t xml:space="preserve">Нормативные затраты труда рабочих </t>
  </si>
  <si>
    <t xml:space="preserve">монтажных работ    </t>
  </si>
  <si>
    <t xml:space="preserve">Нормативные затраты труда машинистов </t>
  </si>
  <si>
    <t xml:space="preserve">оборудования         </t>
  </si>
  <si>
    <t>Расчетный измеритель</t>
  </si>
  <si>
    <t xml:space="preserve">прочих затрат       </t>
  </si>
  <si>
    <t>конструктивного решения</t>
  </si>
  <si>
    <t>№ п/п</t>
  </si>
  <si>
    <t>Обоснование</t>
  </si>
  <si>
    <t>Наименование работ и затрат</t>
  </si>
  <si>
    <t>Единица измерения</t>
  </si>
  <si>
    <t>Количество</t>
  </si>
  <si>
    <t>Сметная стоимость в базисном уровне цен (в текущем уровне цен (гр.8) для ресурсов, отсутствующих в СНБ), руб.</t>
  </si>
  <si>
    <t>Индексы</t>
  </si>
  <si>
    <t>Сметная стоимость в текущем уровне цен, руб.</t>
  </si>
  <si>
    <t>на единицу</t>
  </si>
  <si>
    <t>коэффициенты</t>
  </si>
  <si>
    <r>
      <t>всего с учетом коэффицие</t>
    </r>
    <r>
      <rPr>
        <sz val="10"/>
        <color indexed="8"/>
        <rFont val="Arial"/>
        <family val="2"/>
      </rPr>
      <t>нтов</t>
    </r>
  </si>
  <si>
    <t>всего</t>
  </si>
  <si>
    <t>Наименование программного продукта: Программа для ЭВМ «Программа: «SmetaRu» версия 11»</t>
  </si>
  <si>
    <t>Базисно-индексный</t>
  </si>
  <si>
    <t>Составлена в ценах III квартал 2023 года (1.01.2000)</t>
  </si>
  <si>
    <t>Раздел: Демонтажные работы</t>
  </si>
  <si>
    <t>ФЕР 46-04-008-01</t>
  </si>
  <si>
    <r>
      <t>Разборка покрытий кровель: из рулонных материалов</t>
    </r>
    <r>
      <rPr>
        <i/>
        <sz val="10"/>
        <rFont val="Arial"/>
        <family val="2"/>
      </rPr>
      <t xml:space="preserve">
Поправки к: 
НР =91;   
СП =52</t>
    </r>
  </si>
  <si>
    <t>ОТ</t>
  </si>
  <si>
    <t>ЭМ</t>
  </si>
  <si>
    <t>ЗТ</t>
  </si>
  <si>
    <t>чел-ч</t>
  </si>
  <si>
    <t>Итого по расценке</t>
  </si>
  <si>
    <t>ФОТ</t>
  </si>
  <si>
    <t>НР Работы по реконструкции зданий и сооружений: усиление и замена существующих конструкций, возведение отдельных конструктивных элементов</t>
  </si>
  <si>
    <t>%</t>
  </si>
  <si>
    <t>СП Работы по реконструкции зданий и сооружений: усиление и замена существующих конструкций, возведение отдельных конструктивных элементов</t>
  </si>
  <si>
    <t>Всего по позиции</t>
  </si>
  <si>
    <t>ФЕР 11-01-011-01</t>
  </si>
  <si>
    <r>
      <t>Разборка стяжек: цементных толщиной 20 мм (Применительно)</t>
    </r>
    <r>
      <rPr>
        <i/>
        <sz val="10"/>
        <rFont val="Arial"/>
        <family val="2"/>
      </rPr>
      <t xml:space="preserve">
Поправки к: 
М )*0;   
ЭМ )*0,8;   
ОТм )*0,8;   
ОТ )*0,8;   
ЗТ )*0,8;   
ЗТм )*0,8</t>
    </r>
  </si>
  <si>
    <t>в т.ч. ОТм</t>
  </si>
  <si>
    <t>ЗТм</t>
  </si>
  <si>
    <t>НР Полы</t>
  </si>
  <si>
    <t>СП Полы</t>
  </si>
  <si>
    <t>ФЕР 11-01-011-04</t>
  </si>
  <si>
    <r>
      <t>Разборка стяжек: на каждые 5 мм изменения толщины стяжки добавлять или исключать к расценке 11-01-011-03 (К=2, добавить 10 мм, разборка 30 мм стяжки) Применительно</t>
    </r>
    <r>
      <rPr>
        <i/>
        <sz val="10"/>
        <rFont val="Arial"/>
        <family val="2"/>
      </rPr>
      <t xml:space="preserve">
Поправки к: 
М )*0)*2;   
ЭМ )*0,8)*2;   
ОТм )*0,8)*2;   
ОТ )*0,8)*2;   
ЗТ )*0,8)*2;   
ЗТм )*0,8)*2</t>
    </r>
  </si>
  <si>
    <t>Итого прямые затраты по разделу (в базисном и текущем уровнях цен)</t>
  </si>
  <si>
    <t>в том числе</t>
  </si>
  <si>
    <t xml:space="preserve">   оплата труда</t>
  </si>
  <si>
    <t xml:space="preserve">   эксплуатация машин и механизмов</t>
  </si>
  <si>
    <t xml:space="preserve">   материальные ресурсы</t>
  </si>
  <si>
    <t xml:space="preserve">   перевозка</t>
  </si>
  <si>
    <t>Итого ФОТ (в базисном и текущем уровне цен)(справочно)</t>
  </si>
  <si>
    <t>Итого накладные расходы (в базисном и текущем уровне цен)</t>
  </si>
  <si>
    <t>Итого сметная прибыль (в базисном и текущем уровне цен)</t>
  </si>
  <si>
    <t>Итого оборудование (в базисном и текущем уровне цен)</t>
  </si>
  <si>
    <t>Итого прочие затраты (в базисном и текущем уровне цен)</t>
  </si>
  <si>
    <t>Итого по разделу (в базисном и текущем уровне цен)</t>
  </si>
  <si>
    <t>справочно</t>
  </si>
  <si>
    <t xml:space="preserve">   материальные ресурсы, отсутствующие в СНБ (в текущем уровне цен)</t>
  </si>
  <si>
    <t xml:space="preserve">   оборудование, отсутствующие в СНБ (в текущем уровне цен)</t>
  </si>
  <si>
    <t>Раздел: Монтажные работы</t>
  </si>
  <si>
    <t>ФЕР 12-01-017-01</t>
  </si>
  <si>
    <r>
      <t>Устройство выравнивающих стяжек: цементно-песчаных толщиной 15 мм</t>
    </r>
    <r>
      <rPr>
        <i/>
        <sz val="10"/>
        <rFont val="Arial"/>
        <family val="2"/>
      </rPr>
      <t xml:space="preserve">
Поправки к: 
ЭМ )*1,25;   
ОТм )*1,25;   
ОТ )*1,15;   
ЗТ )*1,15;   
ЗТм )*1,25;   
НР )*0,9;   
СП )*0,85</t>
    </r>
  </si>
  <si>
    <t>М</t>
  </si>
  <si>
    <t>ФССЦ 04.3.02.11-0011</t>
  </si>
  <si>
    <t>Пр/812-012.0-1;
п.25</t>
  </si>
  <si>
    <t>НР Кровли</t>
  </si>
  <si>
    <t>Пр/774-012.0;
п.16</t>
  </si>
  <si>
    <t>СП Кровли</t>
  </si>
  <si>
    <t>ФЕР 12-01-017-02</t>
  </si>
  <si>
    <r>
      <t>Устройство выравнивающих стяжек: на каждый 1 мм изменения толщины добавлять или исключать к расценке 12-01-017-01 (К=15, до 30 мм)</t>
    </r>
    <r>
      <rPr>
        <i/>
        <sz val="10"/>
        <rFont val="Arial"/>
        <family val="2"/>
      </rPr>
      <t xml:space="preserve">
Поправки к: 
М )*15;   
ЭМ )*1,25)*15;   
ОТм )*1,25)*15;   
ОТ )*1,15)*15;   
ЗТ )*1,15)*15;   
ЗТм )*1,25)*15;   
НР )*0,9;   
СП )*0,85</t>
    </r>
  </si>
  <si>
    <t>ФЕР 12-01-016-02</t>
  </si>
  <si>
    <r>
      <t>Огрунтовка оснований из бетона или раствора под водоизоляционный кровельный ковер: готовой эмульсией битумной</t>
    </r>
    <r>
      <rPr>
        <i/>
        <sz val="10"/>
        <rFont val="Arial"/>
        <family val="2"/>
      </rPr>
      <t xml:space="preserve">
Поправки к: 
ЭМ )*1,25;   
ОТм )*1,25;   
ОТ )*1,15;   
ЗТ )*1,15;   
ЗТм )*1,25;   
НР )*0,9;   
СП )*0,85</t>
    </r>
  </si>
  <si>
    <t>ФЕР 12-01-010-01</t>
  </si>
  <si>
    <r>
      <t>Устройство мелких покрытий (брандмауэры, парапеты, свесы и т.п.) из листовой оцинкованной стали</t>
    </r>
    <r>
      <rPr>
        <i/>
        <sz val="10"/>
        <rFont val="Arial"/>
        <family val="2"/>
      </rPr>
      <t xml:space="preserve">
Поправки к: 
ЭМ )*1,25;   
ОТм )*1,25;   
ОТ )*1,15;   
ЗТ )*1,15;   
ЗТм )*1,25;   
НР )*0,9;   
СП )*0,85</t>
    </r>
  </si>
  <si>
    <t>ФЕР 12-01-002-09</t>
  </si>
  <si>
    <r>
      <t>Устройство кровель плоских из наплавляемых материалов в два слоя</t>
    </r>
    <r>
      <rPr>
        <i/>
        <sz val="10"/>
        <rFont val="Arial"/>
        <family val="2"/>
      </rPr>
      <t xml:space="preserve">
Поправки к: 
ЭМ )*1,25;   
ОТм )*1,25;   
ОТ )*1,15;   
ЗТ )*1,15;   
ЗТм )*1,25;   
НР )*0,9;   
СП )*0,85</t>
    </r>
  </si>
  <si>
    <t>ФССЦ 12.1.02.15-0122</t>
  </si>
  <si>
    <t>ФССЦ 12.1.02.15-0121</t>
  </si>
  <si>
    <t>ФЕР 12-01-004-04</t>
  </si>
  <si>
    <r>
      <t>Устройство примыканий кровель из наплавляемых материалов к стенам и парапетам высотой: до 600 мм без фартуков</t>
    </r>
    <r>
      <rPr>
        <i/>
        <sz val="10"/>
        <rFont val="Arial"/>
        <family val="2"/>
      </rPr>
      <t xml:space="preserve">
Поправки к: 
ЭМ )*1,25;   
ОТм )*1,25;   
ОТ )*1,15;   
ЗТ )*1,15;   
ЗТм )*1,25;   
НР )*0,9;   
СП )*0,85</t>
    </r>
  </si>
  <si>
    <t>Раздел: Разные работы</t>
  </si>
  <si>
    <t>ФЕРр 69-15-1</t>
  </si>
  <si>
    <t>НР Прочие ремонтно-строительные работы</t>
  </si>
  <si>
    <t>СП Прочие ремонтно-строительные работы</t>
  </si>
  <si>
    <t>ФССЦ 01-01-01-041</t>
  </si>
  <si>
    <t>ФССЦ 03-01-01-050</t>
  </si>
  <si>
    <t>ВСЕГО по смете (в базисном и текущем уровнях цен)</t>
  </si>
  <si>
    <t>ВСЕГО прямые затраты по смете</t>
  </si>
  <si>
    <t>Всего ФОТ (справочно)</t>
  </si>
  <si>
    <t>Всего накладные расходы</t>
  </si>
  <si>
    <t>Всего сметная прибыль</t>
  </si>
  <si>
    <t>Всего оборудование</t>
  </si>
  <si>
    <t>Всего прочие затраты</t>
  </si>
  <si>
    <t xml:space="preserve">Составил   </t>
  </si>
  <si>
    <t>[должность,подпись(инициалы,фамилия)]</t>
  </si>
  <si>
    <t xml:space="preserve">Проверил   </t>
  </si>
  <si>
    <t>___________________________</t>
  </si>
  <si>
    <t>" ___ " ___________ 20 ___ г.</t>
  </si>
  <si>
    <t>№ в ЛСР</t>
  </si>
  <si>
    <t>Ссылка на чертежи, спецификации</t>
  </si>
  <si>
    <t>Формула расчета, расчет объемов работ и расхода материалов</t>
  </si>
  <si>
    <t>Примечание</t>
  </si>
  <si>
    <t>Главный инженер проекта _________________</t>
  </si>
  <si>
    <t>Составил _________________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</si>
  <si>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</si>
  <si>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</si>
  <si>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</si>
  <si>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</si>
  <si>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</si>
  <si>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</si>
  <si>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</t>
  </si>
  <si>
    <t>по ОКПО</t>
  </si>
  <si>
    <t>организация, адрес, телефон, факс</t>
  </si>
  <si>
    <t>Заказчик</t>
  </si>
  <si>
    <t>Подрядчик</t>
  </si>
  <si>
    <t>Стройка</t>
  </si>
  <si>
    <t>наименование, адрес</t>
  </si>
  <si>
    <t>Объект</t>
  </si>
  <si>
    <t>наименование</t>
  </si>
  <si>
    <t xml:space="preserve">Вид деятельности по ОКДП  </t>
  </si>
  <si>
    <t xml:space="preserve">Договор подряда  </t>
  </si>
  <si>
    <t>номер</t>
  </si>
  <si>
    <t>дата</t>
  </si>
  <si>
    <t xml:space="preserve">Вид операции  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</si>
  <si>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</si>
  <si>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</si>
  <si>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</si>
  <si>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</si>
  <si>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</si>
  <si>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</si>
  <si>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</si>
  <si>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Сметная (договорная) стоимость в соответствии с договором подряда (субподряда)</t>
  </si>
  <si>
    <t xml:space="preserve"> тыс.руб</t>
  </si>
  <si>
    <t>Номер</t>
  </si>
  <si>
    <t>Наименование работ</t>
  </si>
  <si>
    <t>Номер единичной расценки</t>
  </si>
  <si>
    <t>Выполнено работ</t>
  </si>
  <si>
    <t>по порядку</t>
  </si>
  <si>
    <t>поз. по смете</t>
  </si>
  <si>
    <t>цена за единицу, руб</t>
  </si>
  <si>
    <t>стоимость, руб</t>
  </si>
  <si>
    <t>Коэфф. пересчёта: пункт</t>
  </si>
  <si>
    <t>Коэфф. к ОЗП</t>
  </si>
  <si>
    <t>Коэфф. к эксплуатации машин</t>
  </si>
  <si>
    <t>Коэфф. к материалам</t>
  </si>
  <si>
    <t>Коэфф. к ЗПМ</t>
  </si>
  <si>
    <t xml:space="preserve">Накладные расходы </t>
  </si>
  <si>
    <t xml:space="preserve">Сметная прибыль </t>
  </si>
  <si>
    <t xml:space="preserve">Стоимость материалов </t>
  </si>
  <si>
    <t xml:space="preserve">Эксплуатация машин </t>
  </si>
  <si>
    <t xml:space="preserve">Оплата труда машинистов </t>
  </si>
  <si>
    <t xml:space="preserve">Оплата труда рабочих </t>
  </si>
  <si>
    <t xml:space="preserve">Затраты труда рабочих </t>
  </si>
  <si>
    <t xml:space="preserve">Затраты труда машинистов </t>
  </si>
  <si>
    <t>Коэфф. к сметной цене</t>
  </si>
  <si>
    <t xml:space="preserve">Сдал </t>
  </si>
  <si>
    <t>должность</t>
  </si>
  <si>
    <t>подпись</t>
  </si>
  <si>
    <t>расшифровка подпись</t>
  </si>
  <si>
    <t>М.П.</t>
  </si>
  <si>
    <t xml:space="preserve">Принял </t>
  </si>
  <si>
    <t xml:space="preserve">Мы, нижеподписавшиеся, произвели осмотр объекта </t>
  </si>
  <si>
    <t xml:space="preserve">и постановили произвести ремонт объекта в </t>
  </si>
  <si>
    <t>следующем объеме:</t>
  </si>
  <si>
    <t>Заказчик _________________</t>
  </si>
  <si>
    <t>Подрядчик _________________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</si>
</sst>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;[Red]\-\ #,##0.00"/>
    <numFmt numFmtId="166" formatCode="#,##0;[Red]\-\ #,##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Arial"/>
      <family val="0"/>
    </font>
    <font>
      <sz val="10"/>
      <color indexed="18"/>
      <name val="Arial"/>
      <family val="0"/>
    </font>
    <font>
      <b/>
      <sz val="10"/>
      <color indexed="16"/>
      <name val="Arial"/>
      <family val="0"/>
    </font>
    <font>
      <b/>
      <sz val="10"/>
      <color indexed="20"/>
      <name val="Arial"/>
      <family val="0"/>
    </font>
    <font>
      <b/>
      <sz val="10"/>
      <color indexed="17"/>
      <name val="Arial"/>
      <family val="0"/>
    </font>
    <font>
      <b/>
      <sz val="10"/>
      <color indexed="14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16"/>
      <name val="Arial"/>
      <family val="0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16" fillId="0" borderId="0" xfId="0" applyFont="1" applyBorder="1" applyAlignment="1">
      <alignment vertical="top" wrapText="1"/>
    </xf>
    <xf numFmtId="0" fontId="19" fillId="0" borderId="0" xfId="0" applyFont="1" applyAlignment="1">
      <alignment/>
    </xf>
    <xf numFmtId="14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0" xfId="0" applyFont="1" applyAlignment="1">
      <alignment/>
    </xf>
    <xf numFmtId="164" fontId="15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65" fontId="15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0" fontId="15" fillId="0" borderId="10" xfId="0" applyFont="1" applyBorder="1" applyAlignment="1">
      <alignment/>
    </xf>
    <xf numFmtId="165" fontId="0" fillId="0" borderId="0" xfId="0" applyNumberFormat="1" applyAlignment="1">
      <alignment/>
    </xf>
    <xf numFmtId="0" fontId="20" fillId="0" borderId="0" xfId="0" applyFont="1" applyAlignment="1">
      <alignment vertical="top" wrapText="1"/>
    </xf>
    <xf numFmtId="0" fontId="0" fillId="0" borderId="10" xfId="0" applyBorder="1" applyAlignment="1">
      <alignment/>
    </xf>
    <xf numFmtId="165" fontId="0" fillId="0" borderId="0" xfId="0" applyNumberFormat="1" applyFont="1" applyAlignment="1">
      <alignment horizontal="right"/>
    </xf>
    <xf numFmtId="165" fontId="15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15" fillId="0" borderId="10" xfId="0" applyFont="1" applyBorder="1" applyAlignment="1">
      <alignment horizontal="left" wrapText="1"/>
    </xf>
    <xf numFmtId="0" fontId="22" fillId="0" borderId="0" xfId="0" applyFont="1" applyAlignment="1">
      <alignment horizontal="right" wrapText="1"/>
    </xf>
    <xf numFmtId="0" fontId="15" fillId="0" borderId="0" xfId="0" applyFont="1" applyAlignment="1">
      <alignment horizontal="right"/>
    </xf>
    <xf numFmtId="165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 wrapText="1"/>
    </xf>
    <xf numFmtId="0" fontId="22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right"/>
    </xf>
    <xf numFmtId="165" fontId="15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right" wrapText="1"/>
    </xf>
    <xf numFmtId="165" fontId="22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165" fontId="17" fillId="0" borderId="0" xfId="0" applyNumberFormat="1" applyFont="1" applyAlignment="1">
      <alignment horizontal="right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165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vertical="top" wrapText="1"/>
    </xf>
    <xf numFmtId="0" fontId="15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right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17" fillId="0" borderId="0" xfId="0" applyFont="1" applyAlignment="1">
      <alignment horizontal="left" wrapText="1"/>
    </xf>
    <xf numFmtId="0" fontId="15" fillId="0" borderId="15" xfId="0" applyFont="1" applyBorder="1" applyAlignment="1">
      <alignment horizontal="left" vertical="center" shrinkToFit="1"/>
    </xf>
    <xf numFmtId="0" fontId="15" fillId="0" borderId="15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top" shrinkToFit="1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center" wrapText="1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wrapText="1"/>
    </xf>
    <xf numFmtId="0" fontId="15" fillId="0" borderId="12" xfId="0" applyFont="1" applyBorder="1" applyAlignment="1">
      <alignment horizontal="right" wrapText="1"/>
    </xf>
    <xf numFmtId="0" fontId="15" fillId="0" borderId="12" xfId="0" applyFont="1" applyBorder="1" applyAlignment="1">
      <alignment horizontal="right"/>
    </xf>
    <xf numFmtId="0" fontId="15" fillId="0" borderId="13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wrapText="1"/>
    </xf>
    <xf numFmtId="0" fontId="15" fillId="0" borderId="13" xfId="0" applyFont="1" applyBorder="1" applyAlignment="1">
      <alignment horizontal="right" wrapText="1"/>
    </xf>
    <xf numFmtId="0" fontId="15" fillId="0" borderId="13" xfId="0" applyFont="1" applyBorder="1" applyAlignment="1">
      <alignment horizontal="right"/>
    </xf>
    <xf numFmtId="2" fontId="15" fillId="0" borderId="10" xfId="0" applyNumberFormat="1" applyFont="1" applyBorder="1" applyAlignment="1">
      <alignment horizontal="right"/>
    </xf>
    <xf numFmtId="2" fontId="15" fillId="0" borderId="0" xfId="0" applyNumberFormat="1" applyFont="1" applyAlignment="1">
      <alignment horizontal="right"/>
    </xf>
    <xf numFmtId="0" fontId="15" fillId="0" borderId="0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14" fillId="0" borderId="10" xfId="0" applyFont="1" applyBorder="1" applyAlignment="1">
      <alignment horizontal="center" wrapText="1"/>
    </xf>
    <xf numFmtId="0" fontId="16" fillId="0" borderId="16" xfId="0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center" vertical="top" wrapText="1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14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165" fontId="17" fillId="0" borderId="16" xfId="0" applyNumberFormat="1" applyFont="1" applyBorder="1" applyAlignment="1">
      <alignment horizontal="right"/>
    </xf>
    <xf numFmtId="0" fontId="13" fillId="0" borderId="0" xfId="0" applyFont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7" fillId="0" borderId="0" xfId="0" applyFont="1" applyBorder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5" fillId="0" borderId="14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4" xfId="0" applyFont="1" applyBorder="1" applyAlignment="1" quotePrefix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21" xfId="0" applyFont="1" applyBorder="1" applyAlignment="1">
      <alignment horizontal="right"/>
    </xf>
    <xf numFmtId="14" fontId="15" fillId="0" borderId="14" xfId="0" applyNumberFormat="1" applyFont="1" applyBorder="1" applyAlignment="1">
      <alignment horizontal="center"/>
    </xf>
    <xf numFmtId="14" fontId="15" fillId="0" borderId="19" xfId="0" applyNumberFormat="1" applyFont="1" applyBorder="1" applyAlignment="1">
      <alignment horizontal="center"/>
    </xf>
    <xf numFmtId="0" fontId="0" fillId="0" borderId="0" xfId="0" applyFont="1" applyAlignment="1" quotePrefix="1">
      <alignment vertical="top" wrapText="1"/>
    </xf>
    <xf numFmtId="165" fontId="17" fillId="0" borderId="10" xfId="0" applyNumberFormat="1" applyFont="1" applyBorder="1" applyAlignment="1">
      <alignment horizontal="right"/>
    </xf>
    <xf numFmtId="0" fontId="15" fillId="0" borderId="12" xfId="0" applyFont="1" applyBorder="1" applyAlignment="1">
      <alignment horizontal="center" vertical="center" wrapText="1"/>
    </xf>
    <xf numFmtId="166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 vertical="center" shrinkToFit="1"/>
    </xf>
    <xf numFmtId="0" fontId="15" fillId="0" borderId="15" xfId="0" applyFont="1" applyBorder="1" applyAlignment="1">
      <alignment horizontal="left" vertical="center" shrinkToFit="1"/>
    </xf>
    <xf numFmtId="0" fontId="12" fillId="0" borderId="25" xfId="0" applyFont="1" applyBorder="1" applyAlignment="1">
      <alignment horizontal="center" vertical="top" shrinkToFit="1"/>
    </xf>
    <xf numFmtId="0" fontId="14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268"/>
  <sheetViews>
    <sheetView tabSelected="1" zoomScalePageLayoutView="0" workbookViewId="0" topLeftCell="A168">
      <selection activeCell="C245" sqref="C245:H245"/>
    </sheetView>
  </sheetViews>
  <sheetFormatPr defaultColWidth="9.140625" defaultRowHeight="12.75"/>
  <cols>
    <col min="1" max="1" width="5.7109375" style="0" customWidth="1"/>
    <col min="2" max="2" width="20.7109375" style="0" customWidth="1"/>
    <col min="3" max="3" width="40.7109375" style="0" customWidth="1"/>
    <col min="4" max="4" width="10.7109375" style="0" customWidth="1"/>
    <col min="5" max="12" width="14.7109375" style="0" customWidth="1"/>
    <col min="15" max="93" width="0" style="0" hidden="1" customWidth="1"/>
    <col min="94" max="94" width="190.7109375" style="0" hidden="1" customWidth="1"/>
    <col min="95" max="95" width="109.7109375" style="0" hidden="1" customWidth="1"/>
    <col min="96" max="99" width="0" style="0" hidden="1" customWidth="1"/>
  </cols>
  <sheetData>
    <row r="1" ht="12.75">
      <c r="A1" s="12" t="str">
        <f>Source!B1</f>
        <v>Smeta.RU  (495) 974-1589</v>
      </c>
    </row>
    <row r="3" spans="1:12" ht="16.5">
      <c r="A3" s="13"/>
      <c r="B3" s="116" t="s">
        <v>351</v>
      </c>
      <c r="C3" s="116"/>
      <c r="D3" s="116"/>
      <c r="E3" s="116"/>
      <c r="F3" s="14"/>
      <c r="G3" s="14"/>
      <c r="H3" s="116" t="s">
        <v>352</v>
      </c>
      <c r="I3" s="116"/>
      <c r="J3" s="116"/>
      <c r="K3" s="116"/>
      <c r="L3" s="116"/>
    </row>
    <row r="4" spans="1:12" ht="14.25">
      <c r="A4" s="14"/>
      <c r="B4" s="117"/>
      <c r="C4" s="117"/>
      <c r="D4" s="117"/>
      <c r="E4" s="117"/>
      <c r="F4" s="14"/>
      <c r="G4" s="14"/>
      <c r="H4" s="117" t="s">
        <v>354</v>
      </c>
      <c r="I4" s="117"/>
      <c r="J4" s="117"/>
      <c r="K4" s="117"/>
      <c r="L4" s="117"/>
    </row>
    <row r="5" spans="1:12" ht="14.25">
      <c r="A5" s="15"/>
      <c r="B5" s="15"/>
      <c r="C5" s="16"/>
      <c r="D5" s="16"/>
      <c r="E5" s="16"/>
      <c r="F5" s="14"/>
      <c r="G5" s="14"/>
      <c r="H5" s="17"/>
      <c r="I5" s="16"/>
      <c r="J5" s="16"/>
      <c r="K5" s="16"/>
      <c r="L5" s="17"/>
    </row>
    <row r="6" spans="1:12" ht="14.25">
      <c r="A6" s="17"/>
      <c r="B6" s="117" t="str">
        <f>CONCATENATE("______________________ ",IF(Source!AL12&lt;&gt;"",Source!AL12,""))</f>
        <v>______________________ </v>
      </c>
      <c r="C6" s="117"/>
      <c r="D6" s="117"/>
      <c r="E6" s="117"/>
      <c r="F6" s="14"/>
      <c r="G6" s="14"/>
      <c r="H6" s="117" t="str">
        <f>CONCATENATE("______________________ ",IF(Source!AH12&lt;&gt;"",Source!AH12,""))</f>
        <v>______________________ Муравьев К.В.</v>
      </c>
      <c r="I6" s="117"/>
      <c r="J6" s="117"/>
      <c r="K6" s="117"/>
      <c r="L6" s="117"/>
    </row>
    <row r="7" spans="1:12" ht="14.25">
      <c r="A7" s="18"/>
      <c r="B7" s="112" t="s">
        <v>353</v>
      </c>
      <c r="C7" s="112"/>
      <c r="D7" s="112"/>
      <c r="E7" s="112"/>
      <c r="F7" s="14"/>
      <c r="G7" s="14"/>
      <c r="H7" s="112" t="s">
        <v>353</v>
      </c>
      <c r="I7" s="112"/>
      <c r="J7" s="112"/>
      <c r="K7" s="112"/>
      <c r="L7" s="112"/>
    </row>
    <row r="10" spans="1:94" ht="38.25">
      <c r="A10" s="113" t="str">
        <f>Source!CQ12</f>
        <v>ГОСУДАРСТВЕННЫЕ СМЕТНЫЕ НОРМАТИВЫ (ФЕР-2020), утвержденные приказами Минстроя России от 26 декабря 2019 г.   № 876/пр (в редакции приказов Минстроя РФ от 30 марта 2020 г. № 172/пр, от 1 июня 2020 г. № 294/пр, от 30 июня 2020 г. № 352/пр,   от 20 октября 2020 г. № 636/пр, от 9 февраля 2021 г. № 51/пр, от 24 мая 2021 г. № 321/пр, от 24 июня 2021 г. № 408/пр,  от 14 октября 2021 № 746/пр, от 20 декабря 2021 № 962/пр)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CP10" s="77" t="str">
        <f>Source!CQ12</f>
        <v>ГОСУДАРСТВЕННЫЕ СМЕТНЫЕ НОРМАТИВЫ (ФЕР-2020), утвержденные приказами Минстроя России от 26 декабря 2019 г.   № 876/пр (в редакции приказов Минстроя РФ от 30 марта 2020 г. № 172/пр, от 1 июня 2020 г. № 294/пр, от 30 июня 2020 г. № 352/пр,   от 20 октября 2020 г. № 636/пр, от 9 февраля 2021 г. № 51/пр, от 24 мая 2021 г. № 321/пр, от 24 июня 2021 г. № 408/пр,  от 14 октября 2021 № 746/пр, от 20 декабря 2021 № 962/пр)</v>
      </c>
    </row>
    <row r="11" spans="1:11" ht="12.75">
      <c r="A11" s="11"/>
      <c r="B11" s="11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13" t="s">
        <v>388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</row>
    <row r="15" spans="1:12" ht="15.75">
      <c r="A15" s="18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8"/>
    </row>
    <row r="16" spans="1:12" ht="14.25">
      <c r="A16" s="20"/>
      <c r="B16" s="115" t="s">
        <v>355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8"/>
    </row>
    <row r="17" spans="1:12" ht="14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15.75">
      <c r="A18" s="14"/>
      <c r="B18" s="114" t="str">
        <f>IF(Source!G12&lt;&gt;"Новый объект",Source!G12,"")</f>
        <v>Выполнение работ по текущему ремонту кровли ИПУ РАН строения 4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4"/>
    </row>
    <row r="19" spans="1:12" ht="14.25">
      <c r="A19" s="14"/>
      <c r="B19" s="115" t="s">
        <v>356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4"/>
    </row>
    <row r="20" spans="1:12" ht="14.25">
      <c r="A20" s="14"/>
      <c r="B20" s="14"/>
      <c r="C20" s="14"/>
      <c r="D20" s="14"/>
      <c r="E20" s="14"/>
      <c r="F20" s="21"/>
      <c r="G20" s="21"/>
      <c r="H20" s="21" t="s">
        <v>3</v>
      </c>
      <c r="I20" s="21"/>
      <c r="J20" s="21"/>
      <c r="K20" s="21"/>
      <c r="L20" s="21"/>
    </row>
    <row r="21" spans="1:12" ht="15.75">
      <c r="A21" s="22"/>
      <c r="B21" s="122" t="str">
        <f>CONCATENATE("ЛОКАЛЬНАЯ СМЕТА № ",Source!F20," ",Source!CM20)</f>
        <v>ЛОКАЛЬНАЯ СМЕТА №  </v>
      </c>
      <c r="C21" s="122"/>
      <c r="D21" s="122"/>
      <c r="E21" s="122"/>
      <c r="F21" s="122"/>
      <c r="G21" s="122"/>
      <c r="H21" s="122"/>
      <c r="I21" s="122"/>
      <c r="J21" s="122"/>
      <c r="K21" s="122"/>
      <c r="L21" s="22"/>
    </row>
    <row r="22" spans="1:12" ht="1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2"/>
    </row>
    <row r="23" spans="1:12" ht="18">
      <c r="A23" s="14"/>
      <c r="B23" s="123">
        <f>IF(Source!G20&lt;&gt;"Новая локальная смета",Source!G20,"")</f>
      </c>
      <c r="C23" s="123"/>
      <c r="D23" s="123"/>
      <c r="E23" s="123"/>
      <c r="F23" s="123"/>
      <c r="G23" s="123"/>
      <c r="H23" s="123"/>
      <c r="I23" s="123"/>
      <c r="J23" s="123"/>
      <c r="K23" s="123"/>
      <c r="L23" s="24"/>
    </row>
    <row r="24" spans="1:12" ht="14.25">
      <c r="A24" s="14"/>
      <c r="B24" s="115" t="s">
        <v>357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8"/>
    </row>
    <row r="25" spans="1:12" ht="14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14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2.75">
      <c r="A27" s="11" t="s">
        <v>358</v>
      </c>
      <c r="B27" s="11"/>
      <c r="C27" s="25" t="s">
        <v>389</v>
      </c>
      <c r="D27" s="11" t="s">
        <v>359</v>
      </c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 t="s">
        <v>360</v>
      </c>
      <c r="B29" s="11"/>
      <c r="C29" s="124"/>
      <c r="D29" s="124"/>
      <c r="E29" s="124"/>
      <c r="F29" s="124"/>
      <c r="G29" s="124"/>
      <c r="H29" s="11"/>
      <c r="I29" s="11"/>
      <c r="J29" s="11"/>
      <c r="K29" s="11"/>
      <c r="L29" s="26"/>
    </row>
    <row r="30" spans="1:12" ht="12.75">
      <c r="A30" s="27"/>
      <c r="B30" s="28"/>
      <c r="C30" s="118" t="s">
        <v>361</v>
      </c>
      <c r="D30" s="118"/>
      <c r="E30" s="118"/>
      <c r="F30" s="118"/>
      <c r="G30" s="118"/>
      <c r="H30" s="29"/>
      <c r="I30" s="29"/>
      <c r="J30" s="29"/>
      <c r="K30" s="29"/>
      <c r="L30" s="29"/>
    </row>
    <row r="31" spans="1:12" ht="14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14.25">
      <c r="A32" s="30" t="s">
        <v>390</v>
      </c>
      <c r="B32" s="14"/>
      <c r="C32" s="14"/>
      <c r="D32" s="31"/>
      <c r="E32" s="32"/>
      <c r="F32" s="14"/>
      <c r="G32" s="14"/>
      <c r="H32" s="14"/>
      <c r="I32" s="14"/>
      <c r="J32" s="14"/>
      <c r="K32" s="14"/>
      <c r="L32" s="14"/>
    </row>
    <row r="33" spans="1:12" ht="14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4.25">
      <c r="A34" s="30" t="s">
        <v>362</v>
      </c>
      <c r="B34" s="14"/>
      <c r="C34" s="50">
        <f>C37+C38+C39+C40</f>
        <v>293.08</v>
      </c>
      <c r="D34" s="119">
        <f>D37+D38+D39+D40</f>
        <v>25.93</v>
      </c>
      <c r="E34" s="120"/>
      <c r="F34" s="33" t="s">
        <v>363</v>
      </c>
      <c r="G34" s="34"/>
      <c r="H34" s="34"/>
      <c r="I34" s="34"/>
      <c r="J34" s="34"/>
      <c r="K34" s="14"/>
      <c r="L34" s="14"/>
    </row>
    <row r="35" spans="1:12" ht="14.25">
      <c r="A35" s="14"/>
      <c r="B35" s="14"/>
      <c r="C35" s="44"/>
      <c r="D35" s="51"/>
      <c r="E35" s="34"/>
      <c r="F35" s="33"/>
      <c r="G35" s="33" t="s">
        <v>364</v>
      </c>
      <c r="H35" s="34"/>
      <c r="I35" s="34"/>
      <c r="J35" s="34"/>
      <c r="K35" s="14"/>
      <c r="L35" s="14"/>
    </row>
    <row r="36" spans="1:12" ht="14.25">
      <c r="A36" s="14"/>
      <c r="B36" s="35" t="s">
        <v>365</v>
      </c>
      <c r="C36" s="44"/>
      <c r="D36" s="51"/>
      <c r="E36" s="36"/>
      <c r="F36" s="33"/>
      <c r="G36" s="33" t="s">
        <v>366</v>
      </c>
      <c r="H36" s="34" t="s">
        <v>367</v>
      </c>
      <c r="I36" s="37">
        <f>ROUND(SUM(U47:U261)/1000,2)</f>
        <v>52.37</v>
      </c>
      <c r="J36" s="37">
        <f>ROUND((SUM(Q47:Q261))/1000,2)</f>
        <v>1.4</v>
      </c>
      <c r="K36" s="11" t="s">
        <v>363</v>
      </c>
      <c r="L36" s="14"/>
    </row>
    <row r="37" spans="1:12" ht="14.25">
      <c r="A37" s="14"/>
      <c r="B37" s="30" t="s">
        <v>368</v>
      </c>
      <c r="C37" s="50">
        <f>ROUND((Source!P184)/1000,2)</f>
        <v>293.08</v>
      </c>
      <c r="D37" s="119">
        <f>ROUND((SUM(AN47:AN261)+SUM(AR47:AR261))/1000,2)</f>
        <v>25.93</v>
      </c>
      <c r="E37" s="120"/>
      <c r="F37" s="33" t="s">
        <v>363</v>
      </c>
      <c r="G37" s="33" t="s">
        <v>369</v>
      </c>
      <c r="H37" s="34"/>
      <c r="I37" s="33"/>
      <c r="J37" s="52">
        <f>Source!P189</f>
        <v>165.13558999999998</v>
      </c>
      <c r="K37" s="11" t="s">
        <v>270</v>
      </c>
      <c r="L37" s="14"/>
    </row>
    <row r="38" spans="1:12" ht="14.25">
      <c r="A38" s="14"/>
      <c r="B38" s="30" t="s">
        <v>370</v>
      </c>
      <c r="C38" s="50">
        <f>ROUND((Source!P185)/1000,2)</f>
        <v>0</v>
      </c>
      <c r="D38" s="119">
        <f>ROUND((SUM(AX47:AX261)+SUM(BB47:BB261))/1000,2)</f>
        <v>0</v>
      </c>
      <c r="E38" s="120"/>
      <c r="F38" s="33" t="s">
        <v>363</v>
      </c>
      <c r="G38" s="33" t="s">
        <v>371</v>
      </c>
      <c r="H38" s="34"/>
      <c r="I38" s="33"/>
      <c r="J38" s="52">
        <f>Source!P190</f>
        <v>5.2964899999999995</v>
      </c>
      <c r="K38" s="11" t="s">
        <v>270</v>
      </c>
      <c r="L38" s="14"/>
    </row>
    <row r="39" spans="1:12" ht="14.25">
      <c r="A39" s="14"/>
      <c r="B39" s="30" t="s">
        <v>372</v>
      </c>
      <c r="C39" s="50">
        <f>ROUND((Source!P176)/1000,2)</f>
        <v>0</v>
      </c>
      <c r="D39" s="119">
        <f>ROUND((SUM(BH47:BH261)+SUM(BI47:BI261))/1000,2)</f>
        <v>0</v>
      </c>
      <c r="E39" s="120"/>
      <c r="F39" s="33" t="s">
        <v>363</v>
      </c>
      <c r="G39" s="33" t="s">
        <v>373</v>
      </c>
      <c r="H39" s="34"/>
      <c r="I39" s="33"/>
      <c r="J39" s="38"/>
      <c r="K39" s="14"/>
      <c r="L39" s="14"/>
    </row>
    <row r="40" spans="1:12" ht="14.25">
      <c r="A40" s="14"/>
      <c r="B40" s="30" t="s">
        <v>374</v>
      </c>
      <c r="C40" s="50">
        <f>ROUND((Source!P186+Source!P187)/1000,2)</f>
        <v>0</v>
      </c>
      <c r="D40" s="119">
        <f>ROUND((SUM(BM47:BM261)+SUM(BN47:BN261)+SUM(BO47:BO261)+SUM(BP47:BP261))/1000,2)</f>
        <v>0</v>
      </c>
      <c r="E40" s="121"/>
      <c r="F40" s="33" t="s">
        <v>363</v>
      </c>
      <c r="G40" s="33" t="s">
        <v>375</v>
      </c>
      <c r="H40" s="34"/>
      <c r="I40" s="33">
        <f>Source!I20</f>
        <v>0</v>
      </c>
      <c r="J40" s="39">
        <f>Source!H20</f>
      </c>
      <c r="K40" s="14"/>
      <c r="L40" s="14"/>
    </row>
    <row r="41" spans="1:12" ht="14.25">
      <c r="A41" s="14"/>
      <c r="B41" s="14"/>
      <c r="C41" s="14"/>
      <c r="D41" s="34"/>
      <c r="E41" s="34"/>
      <c r="F41" s="34"/>
      <c r="G41" s="34"/>
      <c r="H41" s="34"/>
      <c r="I41" s="34"/>
      <c r="J41" s="34"/>
      <c r="K41" s="14"/>
      <c r="L41" s="14"/>
    </row>
    <row r="42" spans="1:12" ht="12.75">
      <c r="A42" s="125" t="s">
        <v>376</v>
      </c>
      <c r="B42" s="125" t="s">
        <v>377</v>
      </c>
      <c r="C42" s="125" t="s">
        <v>378</v>
      </c>
      <c r="D42" s="125" t="s">
        <v>379</v>
      </c>
      <c r="E42" s="132" t="s">
        <v>380</v>
      </c>
      <c r="F42" s="133"/>
      <c r="G42" s="134"/>
      <c r="H42" s="132" t="s">
        <v>381</v>
      </c>
      <c r="I42" s="133"/>
      <c r="J42" s="134"/>
      <c r="K42" s="125" t="s">
        <v>382</v>
      </c>
      <c r="L42" s="125" t="s">
        <v>383</v>
      </c>
    </row>
    <row r="43" spans="1:12" ht="12.75">
      <c r="A43" s="126"/>
      <c r="B43" s="126"/>
      <c r="C43" s="126"/>
      <c r="D43" s="126"/>
      <c r="E43" s="135"/>
      <c r="F43" s="136"/>
      <c r="G43" s="137"/>
      <c r="H43" s="135"/>
      <c r="I43" s="136"/>
      <c r="J43" s="137"/>
      <c r="K43" s="126"/>
      <c r="L43" s="126"/>
    </row>
    <row r="44" spans="1:12" ht="12.75">
      <c r="A44" s="126"/>
      <c r="B44" s="126"/>
      <c r="C44" s="126"/>
      <c r="D44" s="126"/>
      <c r="E44" s="138"/>
      <c r="F44" s="139"/>
      <c r="G44" s="140"/>
      <c r="H44" s="138"/>
      <c r="I44" s="139"/>
      <c r="J44" s="140"/>
      <c r="K44" s="126"/>
      <c r="L44" s="126"/>
    </row>
    <row r="45" spans="1:12" ht="25.5">
      <c r="A45" s="127"/>
      <c r="B45" s="127"/>
      <c r="C45" s="127"/>
      <c r="D45" s="127"/>
      <c r="E45" s="40" t="s">
        <v>384</v>
      </c>
      <c r="F45" s="40" t="s">
        <v>385</v>
      </c>
      <c r="G45" s="40" t="s">
        <v>386</v>
      </c>
      <c r="H45" s="40" t="s">
        <v>384</v>
      </c>
      <c r="I45" s="40" t="s">
        <v>385</v>
      </c>
      <c r="J45" s="40" t="s">
        <v>387</v>
      </c>
      <c r="K45" s="127"/>
      <c r="L45" s="127"/>
    </row>
    <row r="46" spans="1:12" ht="14.25">
      <c r="A46" s="41">
        <v>1</v>
      </c>
      <c r="B46" s="41">
        <v>2</v>
      </c>
      <c r="C46" s="41">
        <v>3</v>
      </c>
      <c r="D46" s="41">
        <v>4</v>
      </c>
      <c r="E46" s="41">
        <v>5</v>
      </c>
      <c r="F46" s="41">
        <v>6</v>
      </c>
      <c r="G46" s="41">
        <v>7</v>
      </c>
      <c r="H46" s="41">
        <v>8</v>
      </c>
      <c r="I46" s="41">
        <v>9</v>
      </c>
      <c r="J46" s="41">
        <v>10</v>
      </c>
      <c r="K46" s="42">
        <v>11</v>
      </c>
      <c r="L46" s="43">
        <v>12</v>
      </c>
    </row>
    <row r="48" spans="1:12" ht="16.5">
      <c r="A48" s="145" t="s">
        <v>391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</row>
    <row r="49" spans="1:56" ht="66.75">
      <c r="A49" s="74">
        <v>1</v>
      </c>
      <c r="B49" s="74" t="s">
        <v>392</v>
      </c>
      <c r="C49" s="74" t="s">
        <v>393</v>
      </c>
      <c r="D49" s="55" t="str">
        <f>Source!DW29</f>
        <v>100 м2</v>
      </c>
      <c r="E49" s="56">
        <f>Source!K29</f>
        <v>2.34</v>
      </c>
      <c r="F49" s="56"/>
      <c r="G49" s="56">
        <f>Source!I29</f>
        <v>2.34</v>
      </c>
      <c r="H49" s="57"/>
      <c r="I49" s="58"/>
      <c r="J49" s="57"/>
      <c r="K49" s="58"/>
      <c r="L49" s="57"/>
      <c r="AG49">
        <f>ROUND((Source!AT29/100)*((ROUND(Source!AF29*Source!I29,2)+ROUND(Source!AE29*Source!I29,2))),2)</f>
        <v>238.83</v>
      </c>
      <c r="AH49">
        <f>Source!X29</f>
        <v>8918.05</v>
      </c>
      <c r="AI49">
        <f>ROUND((Source!AU29/100)*((ROUND(Source!AF29*Source!I29,2)+ROUND(Source!AE29*Source!I29,2))),2)</f>
        <v>136.47</v>
      </c>
      <c r="AJ49">
        <f>Source!Y29</f>
        <v>5096.03</v>
      </c>
      <c r="AS49">
        <f>IF(Source!BI29&lt;=1,AH49,0)</f>
        <v>8918.05</v>
      </c>
      <c r="AT49">
        <f>IF(Source!BI29&lt;=1,AJ49,0)</f>
        <v>5096.03</v>
      </c>
      <c r="BC49">
        <f>IF(Source!BI29=2,AH49,0)</f>
        <v>0</v>
      </c>
      <c r="BD49">
        <f>IF(Source!BI29=2,AJ49,0)</f>
        <v>0</v>
      </c>
    </row>
    <row r="51" ht="12.75">
      <c r="C51" s="45" t="str">
        <f>"Объем: "&amp;Source!K29&amp;"=234/"&amp;"100"</f>
        <v>Объем: 2,34=234/100</v>
      </c>
    </row>
    <row r="52" spans="1:12" ht="14.25">
      <c r="A52" s="74"/>
      <c r="B52" s="75">
        <v>1</v>
      </c>
      <c r="C52" s="74" t="s">
        <v>394</v>
      </c>
      <c r="D52" s="55"/>
      <c r="E52" s="56"/>
      <c r="F52" s="56"/>
      <c r="G52" s="56"/>
      <c r="H52" s="57">
        <f>Source!AO29</f>
        <v>112.16</v>
      </c>
      <c r="I52" s="58"/>
      <c r="J52" s="57">
        <f>ROUND(Source!AF29*Source!I29,2)</f>
        <v>262.45</v>
      </c>
      <c r="K52" s="58">
        <f>IF(Source!BA29&lt;&gt;0,Source!BA29,1)</f>
        <v>37.34</v>
      </c>
      <c r="L52" s="57">
        <f>Source!S29</f>
        <v>9800.05</v>
      </c>
    </row>
    <row r="53" spans="1:12" ht="14.25">
      <c r="A53" s="74"/>
      <c r="B53" s="75">
        <v>3</v>
      </c>
      <c r="C53" s="74" t="s">
        <v>395</v>
      </c>
      <c r="D53" s="55"/>
      <c r="E53" s="56"/>
      <c r="F53" s="56"/>
      <c r="G53" s="56"/>
      <c r="H53" s="57">
        <f>Source!AM29</f>
        <v>41.43</v>
      </c>
      <c r="I53" s="58"/>
      <c r="J53" s="57">
        <f>ROUND((((Source!ET29)-(Source!EU29))+Source!AE29)*Source!I29,2)</f>
        <v>96.95</v>
      </c>
      <c r="K53" s="58">
        <f>IF(Source!BB29&lt;&gt;0,Source!BB29,1)</f>
        <v>13.24</v>
      </c>
      <c r="L53" s="57">
        <f>Source!Q29</f>
        <v>1283.57</v>
      </c>
    </row>
    <row r="54" spans="1:12" ht="14.25">
      <c r="A54" s="74"/>
      <c r="B54" s="74"/>
      <c r="C54" s="76" t="s">
        <v>396</v>
      </c>
      <c r="D54" s="59" t="s">
        <v>397</v>
      </c>
      <c r="E54" s="60">
        <f>Source!AQ29</f>
        <v>14.38</v>
      </c>
      <c r="F54" s="60"/>
      <c r="G54" s="110">
        <f>ROUND(Source!U29,7)</f>
        <v>33.6492</v>
      </c>
      <c r="H54" s="61"/>
      <c r="I54" s="62"/>
      <c r="J54" s="61"/>
      <c r="K54" s="62"/>
      <c r="L54" s="61"/>
    </row>
    <row r="55" spans="1:12" ht="14.25">
      <c r="A55" s="74"/>
      <c r="B55" s="74"/>
      <c r="C55" s="74" t="s">
        <v>398</v>
      </c>
      <c r="D55" s="55"/>
      <c r="E55" s="56"/>
      <c r="F55" s="56"/>
      <c r="G55" s="56"/>
      <c r="H55" s="57">
        <f>H52+H53</f>
        <v>153.59</v>
      </c>
      <c r="I55" s="58"/>
      <c r="J55" s="57">
        <f>J52+J53</f>
        <v>359.4</v>
      </c>
      <c r="K55" s="58"/>
      <c r="L55" s="57">
        <f>L52+L53</f>
        <v>11083.619999999999</v>
      </c>
    </row>
    <row r="56" spans="1:12" ht="14.25">
      <c r="A56" s="74"/>
      <c r="B56" s="74"/>
      <c r="C56" s="74" t="s">
        <v>399</v>
      </c>
      <c r="D56" s="55"/>
      <c r="E56" s="56"/>
      <c r="F56" s="56"/>
      <c r="G56" s="56"/>
      <c r="H56" s="57"/>
      <c r="I56" s="58"/>
      <c r="J56" s="57">
        <f>SUM(Q49:Q59)+SUM(V49:V59)+SUM(X49:X59)+SUM(Y49:Y59)</f>
        <v>262.45</v>
      </c>
      <c r="K56" s="58"/>
      <c r="L56" s="57">
        <f>SUM(U49:U59)+SUM(W49:W59)+SUM(Z49:Z59)+SUM(AA49:AA59)</f>
        <v>9800.05</v>
      </c>
    </row>
    <row r="57" spans="1:12" ht="71.25">
      <c r="A57" s="74"/>
      <c r="B57" s="74" t="s">
        <v>32</v>
      </c>
      <c r="C57" s="74" t="s">
        <v>400</v>
      </c>
      <c r="D57" s="55" t="s">
        <v>401</v>
      </c>
      <c r="E57" s="56">
        <f>Source!BZ29</f>
        <v>91</v>
      </c>
      <c r="F57" s="56" t="str">
        <f>Source!DL29</f>
        <v>=91</v>
      </c>
      <c r="G57" s="56">
        <f>Source!AT29</f>
        <v>91</v>
      </c>
      <c r="H57" s="57"/>
      <c r="I57" s="58"/>
      <c r="J57" s="57">
        <f>SUM(AG49:AG59)</f>
        <v>238.83</v>
      </c>
      <c r="K57" s="58"/>
      <c r="L57" s="57">
        <f>SUM(AH49:AH59)</f>
        <v>8918.05</v>
      </c>
    </row>
    <row r="58" spans="1:12" ht="71.25">
      <c r="A58" s="76"/>
      <c r="B58" s="76" t="s">
        <v>33</v>
      </c>
      <c r="C58" s="76" t="s">
        <v>402</v>
      </c>
      <c r="D58" s="59" t="s">
        <v>401</v>
      </c>
      <c r="E58" s="60">
        <f>Source!CA29</f>
        <v>52</v>
      </c>
      <c r="F58" s="60" t="str">
        <f>Source!DM29</f>
        <v>=52</v>
      </c>
      <c r="G58" s="60">
        <f>Source!AU29</f>
        <v>52</v>
      </c>
      <c r="H58" s="61"/>
      <c r="I58" s="62"/>
      <c r="J58" s="61">
        <f>SUM(AI49:AI59)</f>
        <v>136.47</v>
      </c>
      <c r="K58" s="62"/>
      <c r="L58" s="61">
        <f>SUM(AJ49:AJ59)</f>
        <v>5096.03</v>
      </c>
    </row>
    <row r="59" spans="3:53" ht="15">
      <c r="C59" s="144" t="s">
        <v>403</v>
      </c>
      <c r="D59" s="144"/>
      <c r="E59" s="144"/>
      <c r="F59" s="144"/>
      <c r="G59" s="144"/>
      <c r="H59" s="144"/>
      <c r="I59" s="144">
        <f>J52+J53+J57+J58</f>
        <v>734.7</v>
      </c>
      <c r="J59" s="144"/>
      <c r="K59" s="144">
        <f>L52+L53+L57+L58</f>
        <v>25097.699999999997</v>
      </c>
      <c r="L59" s="144"/>
      <c r="O59" s="47">
        <f>I59</f>
        <v>734.7</v>
      </c>
      <c r="P59" s="47">
        <f>K59</f>
        <v>25097.699999999997</v>
      </c>
      <c r="Q59" s="47">
        <f>J52</f>
        <v>262.45</v>
      </c>
      <c r="R59" s="47">
        <f>J52</f>
        <v>262.45</v>
      </c>
      <c r="U59" s="47">
        <f>L52</f>
        <v>9800.05</v>
      </c>
      <c r="X59">
        <f>0</f>
        <v>0</v>
      </c>
      <c r="Z59">
        <f>0</f>
        <v>0</v>
      </c>
      <c r="AB59" s="47">
        <f>J53</f>
        <v>96.95</v>
      </c>
      <c r="AD59" s="47">
        <f>L53</f>
        <v>1283.57</v>
      </c>
      <c r="AF59">
        <f>0</f>
        <v>0</v>
      </c>
      <c r="AN59">
        <f>IF(Source!BI29&lt;=1,J52+J53+J57+J58,0)</f>
        <v>734.7</v>
      </c>
      <c r="AO59">
        <f>IF(Source!BI29&lt;=1,0,0)</f>
        <v>0</v>
      </c>
      <c r="AP59">
        <f>IF(Source!BI29&lt;=1,J53,0)</f>
        <v>96.95</v>
      </c>
      <c r="AQ59">
        <f>IF(Source!BI29&lt;=1,J52,0)</f>
        <v>262.45</v>
      </c>
      <c r="AX59">
        <f>IF(Source!BI29=2,J52+J53+J57+J58,0)</f>
        <v>0</v>
      </c>
      <c r="AY59">
        <f>IF(Source!BI29=2,0,0)</f>
        <v>0</v>
      </c>
      <c r="AZ59">
        <f>IF(Source!BI29=2,J53,0)</f>
        <v>0</v>
      </c>
      <c r="BA59">
        <f>IF(Source!BI29=2,J52,0)</f>
        <v>0</v>
      </c>
    </row>
    <row r="60" spans="1:56" ht="117.75">
      <c r="A60" s="74">
        <v>2</v>
      </c>
      <c r="B60" s="74" t="s">
        <v>404</v>
      </c>
      <c r="C60" s="74" t="s">
        <v>405</v>
      </c>
      <c r="D60" s="55" t="str">
        <f>Source!DW31</f>
        <v>100 м2</v>
      </c>
      <c r="E60" s="56">
        <f>Source!K31</f>
        <v>0.97</v>
      </c>
      <c r="F60" s="56"/>
      <c r="G60" s="56">
        <f>Source!I31</f>
        <v>0.97</v>
      </c>
      <c r="H60" s="57"/>
      <c r="I60" s="58"/>
      <c r="J60" s="57"/>
      <c r="K60" s="58"/>
      <c r="L60" s="57"/>
      <c r="AG60">
        <f>ROUND((Source!AT31/100)*((ROUND(Source!AF31*Source!I31,2)+ROUND(Source!AE31*Source!I31,2))),2)</f>
        <v>260.58</v>
      </c>
      <c r="AH60">
        <f>Source!X31</f>
        <v>9729.8</v>
      </c>
      <c r="AI60">
        <f>ROUND((Source!AU31/100)*((ROUND(Source!AF31*Source!I31,2)+ROUND(Source!AE31*Source!I31,2))),2)</f>
        <v>151.23</v>
      </c>
      <c r="AJ60">
        <f>Source!Y31</f>
        <v>5646.76</v>
      </c>
      <c r="AS60">
        <f>IF(Source!BI31&lt;=1,AH60,0)</f>
        <v>9729.8</v>
      </c>
      <c r="AT60">
        <f>IF(Source!BI31&lt;=1,AJ60,0)</f>
        <v>5646.76</v>
      </c>
      <c r="BC60">
        <f>IF(Source!BI31=2,AH60,0)</f>
        <v>0</v>
      </c>
      <c r="BD60">
        <f>IF(Source!BI31=2,AJ60,0)</f>
        <v>0</v>
      </c>
    </row>
    <row r="61" ht="25.5">
      <c r="B61" s="48" t="str">
        <f>Source!EO31</f>
        <v>Поправка: МР 571/пр Табл.2, п.1</v>
      </c>
    </row>
    <row r="62" ht="12.75">
      <c r="C62" s="45" t="str">
        <f>"Объем: "&amp;Source!K31&amp;"=97/"&amp;"100"</f>
        <v>Объем: 0,97=97/100</v>
      </c>
    </row>
    <row r="63" spans="1:12" ht="14.25">
      <c r="A63" s="74"/>
      <c r="B63" s="75">
        <v>1</v>
      </c>
      <c r="C63" s="74" t="s">
        <v>394</v>
      </c>
      <c r="D63" s="55"/>
      <c r="E63" s="56"/>
      <c r="F63" s="56"/>
      <c r="G63" s="56"/>
      <c r="H63" s="57">
        <f>Source!AO31</f>
        <v>282.66</v>
      </c>
      <c r="I63" s="58">
        <f>ROUND(0.8,7)</f>
        <v>0.8</v>
      </c>
      <c r="J63" s="57">
        <f>ROUND(Source!AF31*Source!I31,2)</f>
        <v>219.35</v>
      </c>
      <c r="K63" s="58">
        <f>IF(Source!BA31&lt;&gt;0,Source!BA31,1)</f>
        <v>37.34</v>
      </c>
      <c r="L63" s="57">
        <f>Source!S31</f>
        <v>8190.38</v>
      </c>
    </row>
    <row r="64" spans="1:12" ht="14.25">
      <c r="A64" s="74"/>
      <c r="B64" s="75">
        <v>3</v>
      </c>
      <c r="C64" s="74" t="s">
        <v>395</v>
      </c>
      <c r="D64" s="55"/>
      <c r="E64" s="56"/>
      <c r="F64" s="56"/>
      <c r="G64" s="56"/>
      <c r="H64" s="57">
        <f>Source!AM31</f>
        <v>43.61</v>
      </c>
      <c r="I64" s="58">
        <f>ROUND(0.8,7)</f>
        <v>0.8</v>
      </c>
      <c r="J64" s="57">
        <f>ROUND(((((Source!ET31*ROUND(0.8,7)))-((Source!EU31*ROUND(0.8,7))))+Source!AE31)*Source!I31,2)</f>
        <v>33.84</v>
      </c>
      <c r="K64" s="58">
        <f>IF(Source!BB31&lt;&gt;0,Source!BB31,1)</f>
        <v>13.24</v>
      </c>
      <c r="L64" s="57">
        <f>Source!Q31</f>
        <v>448.06</v>
      </c>
    </row>
    <row r="65" spans="1:12" ht="14.25">
      <c r="A65" s="74"/>
      <c r="B65" s="75">
        <v>2</v>
      </c>
      <c r="C65" s="74" t="s">
        <v>406</v>
      </c>
      <c r="D65" s="55"/>
      <c r="E65" s="56"/>
      <c r="F65" s="56"/>
      <c r="G65" s="56"/>
      <c r="H65" s="57">
        <f>Source!AN31</f>
        <v>17.15</v>
      </c>
      <c r="I65" s="58">
        <f>ROUND(0.8,7)</f>
        <v>0.8</v>
      </c>
      <c r="J65" s="63">
        <f>ROUND(Source!AE31*Source!I31,2)</f>
        <v>13.31</v>
      </c>
      <c r="K65" s="58">
        <f>IF(Source!BS31&lt;&gt;0,Source!BS31,1)</f>
        <v>37.34</v>
      </c>
      <c r="L65" s="63">
        <f>Source!R31</f>
        <v>496.94</v>
      </c>
    </row>
    <row r="66" spans="1:12" ht="14.25">
      <c r="A66" s="74"/>
      <c r="B66" s="74"/>
      <c r="C66" s="74" t="s">
        <v>396</v>
      </c>
      <c r="D66" s="55" t="s">
        <v>397</v>
      </c>
      <c r="E66" s="56">
        <f>Source!AQ31</f>
        <v>35.6</v>
      </c>
      <c r="F66" s="56">
        <f>ROUND(0.8,7)</f>
        <v>0.8</v>
      </c>
      <c r="G66" s="111">
        <f>ROUND(Source!U31,7)</f>
        <v>27.6256</v>
      </c>
      <c r="H66" s="57"/>
      <c r="I66" s="58"/>
      <c r="J66" s="57"/>
      <c r="K66" s="58"/>
      <c r="L66" s="57"/>
    </row>
    <row r="67" spans="1:12" ht="14.25">
      <c r="A67" s="74"/>
      <c r="B67" s="74"/>
      <c r="C67" s="76" t="s">
        <v>407</v>
      </c>
      <c r="D67" s="59" t="s">
        <v>397</v>
      </c>
      <c r="E67" s="60">
        <f>Source!AR31</f>
        <v>1.27</v>
      </c>
      <c r="F67" s="60">
        <f>ROUND(0.8,7)</f>
        <v>0.8</v>
      </c>
      <c r="G67" s="110">
        <f>ROUND(Source!V31,7)</f>
        <v>0.98552</v>
      </c>
      <c r="H67" s="61"/>
      <c r="I67" s="62"/>
      <c r="J67" s="61"/>
      <c r="K67" s="62"/>
      <c r="L67" s="61"/>
    </row>
    <row r="68" spans="1:12" ht="14.25">
      <c r="A68" s="74"/>
      <c r="B68" s="74"/>
      <c r="C68" s="74" t="s">
        <v>398</v>
      </c>
      <c r="D68" s="55"/>
      <c r="E68" s="56"/>
      <c r="F68" s="56"/>
      <c r="G68" s="56"/>
      <c r="H68" s="57">
        <f>H63+H64</f>
        <v>326.27000000000004</v>
      </c>
      <c r="I68" s="58"/>
      <c r="J68" s="57">
        <f>J63+J64</f>
        <v>253.19</v>
      </c>
      <c r="K68" s="58"/>
      <c r="L68" s="57">
        <f>L63+L64</f>
        <v>8638.44</v>
      </c>
    </row>
    <row r="69" spans="1:12" ht="14.25">
      <c r="A69" s="74"/>
      <c r="B69" s="74"/>
      <c r="C69" s="74" t="s">
        <v>399</v>
      </c>
      <c r="D69" s="55"/>
      <c r="E69" s="56"/>
      <c r="F69" s="56"/>
      <c r="G69" s="56"/>
      <c r="H69" s="57"/>
      <c r="I69" s="58"/>
      <c r="J69" s="57">
        <f>SUM(Q60:Q72)+SUM(V60:V72)+SUM(X60:X72)+SUM(Y60:Y72)</f>
        <v>232.66</v>
      </c>
      <c r="K69" s="58"/>
      <c r="L69" s="57">
        <f>SUM(U60:U72)+SUM(W60:W72)+SUM(Z60:Z72)+SUM(AA60:AA72)</f>
        <v>8687.32</v>
      </c>
    </row>
    <row r="70" spans="1:12" ht="14.25">
      <c r="A70" s="74"/>
      <c r="B70" s="74" t="s">
        <v>45</v>
      </c>
      <c r="C70" s="74" t="s">
        <v>408</v>
      </c>
      <c r="D70" s="55" t="s">
        <v>401</v>
      </c>
      <c r="E70" s="56">
        <f>Source!BZ31</f>
        <v>112</v>
      </c>
      <c r="F70" s="56"/>
      <c r="G70" s="56">
        <f>Source!AT31</f>
        <v>112</v>
      </c>
      <c r="H70" s="57"/>
      <c r="I70" s="58"/>
      <c r="J70" s="57">
        <f>SUM(AG60:AG72)</f>
        <v>260.58</v>
      </c>
      <c r="K70" s="58"/>
      <c r="L70" s="57">
        <f>SUM(AH60:AH72)</f>
        <v>9729.8</v>
      </c>
    </row>
    <row r="71" spans="1:12" ht="14.25">
      <c r="A71" s="76"/>
      <c r="B71" s="76" t="s">
        <v>46</v>
      </c>
      <c r="C71" s="76" t="s">
        <v>409</v>
      </c>
      <c r="D71" s="59" t="s">
        <v>401</v>
      </c>
      <c r="E71" s="60">
        <f>Source!CA31</f>
        <v>65</v>
      </c>
      <c r="F71" s="60"/>
      <c r="G71" s="60">
        <f>Source!AU31</f>
        <v>65</v>
      </c>
      <c r="H71" s="61"/>
      <c r="I71" s="62"/>
      <c r="J71" s="61">
        <f>SUM(AI60:AI72)</f>
        <v>151.23</v>
      </c>
      <c r="K71" s="62"/>
      <c r="L71" s="61">
        <f>SUM(AJ60:AJ72)</f>
        <v>5646.76</v>
      </c>
    </row>
    <row r="72" spans="3:53" ht="15">
      <c r="C72" s="144" t="s">
        <v>403</v>
      </c>
      <c r="D72" s="144"/>
      <c r="E72" s="144"/>
      <c r="F72" s="144"/>
      <c r="G72" s="144"/>
      <c r="H72" s="144"/>
      <c r="I72" s="144">
        <f>J63+J64+J70+J71</f>
        <v>665</v>
      </c>
      <c r="J72" s="144"/>
      <c r="K72" s="144">
        <f>L63+L64+L70+L71</f>
        <v>24015</v>
      </c>
      <c r="L72" s="144"/>
      <c r="O72" s="47">
        <f>I72</f>
        <v>665</v>
      </c>
      <c r="P72" s="47">
        <f>K72</f>
        <v>24015</v>
      </c>
      <c r="Q72" s="47">
        <f>J63</f>
        <v>219.35</v>
      </c>
      <c r="R72" s="47">
        <f>J63</f>
        <v>219.35</v>
      </c>
      <c r="U72" s="47">
        <f>L63</f>
        <v>8190.38</v>
      </c>
      <c r="X72" s="47">
        <f>J65</f>
        <v>13.31</v>
      </c>
      <c r="Z72" s="47">
        <f>L65</f>
        <v>496.94</v>
      </c>
      <c r="AB72" s="47">
        <f>J64</f>
        <v>33.84</v>
      </c>
      <c r="AD72" s="47">
        <f>L64</f>
        <v>448.06</v>
      </c>
      <c r="AF72">
        <f>0</f>
        <v>0</v>
      </c>
      <c r="AN72">
        <f>IF(Source!BI31&lt;=1,J63+J64+J70+J71,0)</f>
        <v>665</v>
      </c>
      <c r="AO72">
        <f>IF(Source!BI31&lt;=1,0,0)</f>
        <v>0</v>
      </c>
      <c r="AP72">
        <f>IF(Source!BI31&lt;=1,J64,0)</f>
        <v>33.84</v>
      </c>
      <c r="AQ72">
        <f>IF(Source!BI31&lt;=1,J63,0)</f>
        <v>219.35</v>
      </c>
      <c r="AX72">
        <f>IF(Source!BI31=2,J63+J64+J70+J71,0)</f>
        <v>0</v>
      </c>
      <c r="AY72">
        <f>IF(Source!BI31=2,0,0)</f>
        <v>0</v>
      </c>
      <c r="AZ72">
        <f>IF(Source!BI31=2,J64,0)</f>
        <v>0</v>
      </c>
      <c r="BA72">
        <f>IF(Source!BI31=2,J63,0)</f>
        <v>0</v>
      </c>
    </row>
    <row r="73" spans="1:56" ht="160.5">
      <c r="A73" s="74">
        <v>3</v>
      </c>
      <c r="B73" s="74" t="s">
        <v>410</v>
      </c>
      <c r="C73" s="74" t="s">
        <v>411</v>
      </c>
      <c r="D73" s="55" t="str">
        <f>Source!DW35</f>
        <v>100 м2</v>
      </c>
      <c r="E73" s="56">
        <f>Source!K35</f>
        <v>0.97</v>
      </c>
      <c r="F73" s="56"/>
      <c r="G73" s="56">
        <f>Source!I35</f>
        <v>0.97</v>
      </c>
      <c r="H73" s="57"/>
      <c r="I73" s="58"/>
      <c r="J73" s="57"/>
      <c r="K73" s="58"/>
      <c r="L73" s="57"/>
      <c r="AG73">
        <f>ROUND((Source!AT35/100)*((ROUND(Source!AF35*Source!I35,2)+ROUND(Source!AE35*Source!I35,2))),2)</f>
        <v>10.9</v>
      </c>
      <c r="AH73">
        <f>Source!X35</f>
        <v>406.88</v>
      </c>
      <c r="AI73">
        <f>ROUND((Source!AU35/100)*((ROUND(Source!AF35*Source!I35,2)+ROUND(Source!AE35*Source!I35,2))),2)</f>
        <v>6.32</v>
      </c>
      <c r="AJ73">
        <f>Source!Y35</f>
        <v>236.14</v>
      </c>
      <c r="AS73">
        <f>IF(Source!BI35&lt;=1,AH73,0)</f>
        <v>406.88</v>
      </c>
      <c r="AT73">
        <f>IF(Source!BI35&lt;=1,AJ73,0)</f>
        <v>236.14</v>
      </c>
      <c r="BC73">
        <f>IF(Source!BI35=2,AH73,0)</f>
        <v>0</v>
      </c>
      <c r="BD73">
        <f>IF(Source!BI35=2,AJ73,0)</f>
        <v>0</v>
      </c>
    </row>
    <row r="74" ht="25.5">
      <c r="B74" s="48" t="str">
        <f>Source!EO35</f>
        <v>Поправка: МР 571/пр Табл.2, п.1</v>
      </c>
    </row>
    <row r="75" ht="12.75">
      <c r="C75" s="45" t="str">
        <f>"Объем: "&amp;Source!K35&amp;"=97/"&amp;"100"</f>
        <v>Объем: 0,97=97/100</v>
      </c>
    </row>
    <row r="76" spans="1:12" ht="14.25">
      <c r="A76" s="74"/>
      <c r="B76" s="75">
        <v>1</v>
      </c>
      <c r="C76" s="74" t="s">
        <v>394</v>
      </c>
      <c r="D76" s="55"/>
      <c r="E76" s="56"/>
      <c r="F76" s="56"/>
      <c r="G76" s="56"/>
      <c r="H76" s="57">
        <f>Source!AO35</f>
        <v>3.43</v>
      </c>
      <c r="I76" s="58">
        <f>ROUND((0.8)*2,7)</f>
        <v>1.6</v>
      </c>
      <c r="J76" s="57">
        <f>ROUND(Source!AF35*Source!I35,2)</f>
        <v>5.33</v>
      </c>
      <c r="K76" s="58">
        <f>IF(Source!BA35&lt;&gt;0,Source!BA35,1)</f>
        <v>37.34</v>
      </c>
      <c r="L76" s="57">
        <f>Source!S35</f>
        <v>198.85</v>
      </c>
    </row>
    <row r="77" spans="1:12" ht="14.25">
      <c r="A77" s="74"/>
      <c r="B77" s="75">
        <v>3</v>
      </c>
      <c r="C77" s="74" t="s">
        <v>395</v>
      </c>
      <c r="D77" s="55"/>
      <c r="E77" s="56"/>
      <c r="F77" s="56"/>
      <c r="G77" s="56"/>
      <c r="H77" s="57">
        <f>Source!AM35</f>
        <v>7.56</v>
      </c>
      <c r="I77" s="58">
        <f>ROUND((0.8)*2,7)</f>
        <v>1.6</v>
      </c>
      <c r="J77" s="57">
        <f>ROUND(((((Source!ET35*ROUND((0.8*2),7)))-((Source!EU35*ROUND((0.8*2),7))))+Source!AE35)*Source!I35,2)</f>
        <v>11.73</v>
      </c>
      <c r="K77" s="58">
        <f>IF(Source!BB35&lt;&gt;0,Source!BB35,1)</f>
        <v>13.24</v>
      </c>
      <c r="L77" s="57">
        <f>Source!Q35</f>
        <v>155.2</v>
      </c>
    </row>
    <row r="78" spans="1:12" ht="14.25">
      <c r="A78" s="74"/>
      <c r="B78" s="75">
        <v>2</v>
      </c>
      <c r="C78" s="74" t="s">
        <v>406</v>
      </c>
      <c r="D78" s="55"/>
      <c r="E78" s="56"/>
      <c r="F78" s="56"/>
      <c r="G78" s="56"/>
      <c r="H78" s="57">
        <f>Source!AN35</f>
        <v>2.84</v>
      </c>
      <c r="I78" s="58">
        <f>ROUND((0.8)*2,7)</f>
        <v>1.6</v>
      </c>
      <c r="J78" s="63">
        <f>ROUND(Source!AE35*Source!I35,2)</f>
        <v>4.4</v>
      </c>
      <c r="K78" s="58">
        <f>IF(Source!BS35&lt;&gt;0,Source!BS35,1)</f>
        <v>37.34</v>
      </c>
      <c r="L78" s="63">
        <f>Source!R35</f>
        <v>164.44</v>
      </c>
    </row>
    <row r="79" spans="1:12" ht="14.25">
      <c r="A79" s="74"/>
      <c r="B79" s="74"/>
      <c r="C79" s="74" t="s">
        <v>396</v>
      </c>
      <c r="D79" s="55" t="s">
        <v>397</v>
      </c>
      <c r="E79" s="56">
        <f>Source!AQ35</f>
        <v>0.44</v>
      </c>
      <c r="F79" s="56">
        <f>ROUND((0.8)*2,7)</f>
        <v>1.6</v>
      </c>
      <c r="G79" s="111">
        <f>ROUND(Source!U35,7)</f>
        <v>0.68288</v>
      </c>
      <c r="H79" s="57"/>
      <c r="I79" s="58"/>
      <c r="J79" s="57"/>
      <c r="K79" s="58"/>
      <c r="L79" s="57"/>
    </row>
    <row r="80" spans="1:12" ht="14.25">
      <c r="A80" s="74"/>
      <c r="B80" s="74"/>
      <c r="C80" s="76" t="s">
        <v>407</v>
      </c>
      <c r="D80" s="59" t="s">
        <v>397</v>
      </c>
      <c r="E80" s="60">
        <f>Source!AR35</f>
        <v>0.21</v>
      </c>
      <c r="F80" s="60">
        <f>ROUND((0.8)*2,7)</f>
        <v>1.6</v>
      </c>
      <c r="G80" s="110">
        <f>ROUND(Source!V35,7)</f>
        <v>0.32592</v>
      </c>
      <c r="H80" s="61"/>
      <c r="I80" s="62"/>
      <c r="J80" s="61"/>
      <c r="K80" s="62"/>
      <c r="L80" s="61"/>
    </row>
    <row r="81" spans="1:12" ht="14.25">
      <c r="A81" s="74"/>
      <c r="B81" s="74"/>
      <c r="C81" s="74" t="s">
        <v>398</v>
      </c>
      <c r="D81" s="55"/>
      <c r="E81" s="56"/>
      <c r="F81" s="56"/>
      <c r="G81" s="56"/>
      <c r="H81" s="57">
        <f>H76+H77</f>
        <v>10.99</v>
      </c>
      <c r="I81" s="58"/>
      <c r="J81" s="57">
        <f>J76+J77</f>
        <v>17.060000000000002</v>
      </c>
      <c r="K81" s="58"/>
      <c r="L81" s="57">
        <f>L76+L77</f>
        <v>354.04999999999995</v>
      </c>
    </row>
    <row r="82" spans="1:12" ht="14.25">
      <c r="A82" s="74"/>
      <c r="B82" s="74"/>
      <c r="C82" s="74" t="s">
        <v>399</v>
      </c>
      <c r="D82" s="55"/>
      <c r="E82" s="56"/>
      <c r="F82" s="56"/>
      <c r="G82" s="56"/>
      <c r="H82" s="57"/>
      <c r="I82" s="58"/>
      <c r="J82" s="57">
        <f>SUM(Q73:Q85)+SUM(V73:V85)+SUM(X73:X85)+SUM(Y73:Y85)</f>
        <v>9.73</v>
      </c>
      <c r="K82" s="58"/>
      <c r="L82" s="57">
        <f>SUM(U73:U85)+SUM(W73:W85)+SUM(Z73:Z85)+SUM(AA73:AA85)</f>
        <v>363.28999999999996</v>
      </c>
    </row>
    <row r="83" spans="1:12" ht="14.25">
      <c r="A83" s="74"/>
      <c r="B83" s="74" t="s">
        <v>45</v>
      </c>
      <c r="C83" s="74" t="s">
        <v>408</v>
      </c>
      <c r="D83" s="55" t="s">
        <v>401</v>
      </c>
      <c r="E83" s="56">
        <f>Source!BZ35</f>
        <v>112</v>
      </c>
      <c r="F83" s="56"/>
      <c r="G83" s="56">
        <f>Source!AT35</f>
        <v>112</v>
      </c>
      <c r="H83" s="57"/>
      <c r="I83" s="58"/>
      <c r="J83" s="57">
        <f>SUM(AG73:AG85)</f>
        <v>10.9</v>
      </c>
      <c r="K83" s="58"/>
      <c r="L83" s="57">
        <f>SUM(AH73:AH85)</f>
        <v>406.88</v>
      </c>
    </row>
    <row r="84" spans="1:12" ht="14.25">
      <c r="A84" s="76"/>
      <c r="B84" s="76" t="s">
        <v>46</v>
      </c>
      <c r="C84" s="76" t="s">
        <v>409</v>
      </c>
      <c r="D84" s="59" t="s">
        <v>401</v>
      </c>
      <c r="E84" s="60">
        <f>Source!CA35</f>
        <v>65</v>
      </c>
      <c r="F84" s="60"/>
      <c r="G84" s="60">
        <f>Source!AU35</f>
        <v>65</v>
      </c>
      <c r="H84" s="61"/>
      <c r="I84" s="62"/>
      <c r="J84" s="61">
        <f>SUM(AI73:AI85)</f>
        <v>6.32</v>
      </c>
      <c r="K84" s="62"/>
      <c r="L84" s="61">
        <f>SUM(AJ73:AJ85)</f>
        <v>236.14</v>
      </c>
    </row>
    <row r="85" spans="3:53" ht="15">
      <c r="C85" s="144" t="s">
        <v>403</v>
      </c>
      <c r="D85" s="144"/>
      <c r="E85" s="144"/>
      <c r="F85" s="144"/>
      <c r="G85" s="144"/>
      <c r="H85" s="144"/>
      <c r="I85" s="144">
        <f>J76+J77+J83+J84</f>
        <v>34.28</v>
      </c>
      <c r="J85" s="144"/>
      <c r="K85" s="144">
        <f>L76+L77+L83+L84</f>
        <v>997.0699999999999</v>
      </c>
      <c r="L85" s="144"/>
      <c r="O85" s="47">
        <f>I85</f>
        <v>34.28</v>
      </c>
      <c r="P85" s="47">
        <f>K85</f>
        <v>997.0699999999999</v>
      </c>
      <c r="Q85" s="47">
        <f>J76</f>
        <v>5.33</v>
      </c>
      <c r="R85" s="47">
        <f>J76</f>
        <v>5.33</v>
      </c>
      <c r="U85" s="47">
        <f>L76</f>
        <v>198.85</v>
      </c>
      <c r="X85" s="47">
        <f>J78</f>
        <v>4.4</v>
      </c>
      <c r="Z85" s="47">
        <f>L78</f>
        <v>164.44</v>
      </c>
      <c r="AB85" s="47">
        <f>J77</f>
        <v>11.73</v>
      </c>
      <c r="AD85" s="47">
        <f>L77</f>
        <v>155.2</v>
      </c>
      <c r="AF85">
        <f>0</f>
        <v>0</v>
      </c>
      <c r="AN85">
        <f>IF(Source!BI35&lt;=1,J76+J77+J83+J84,0)</f>
        <v>34.28</v>
      </c>
      <c r="AO85">
        <f>IF(Source!BI35&lt;=1,0,0)</f>
        <v>0</v>
      </c>
      <c r="AP85">
        <f>IF(Source!BI35&lt;=1,J77,0)</f>
        <v>11.73</v>
      </c>
      <c r="AQ85">
        <f>IF(Source!BI35&lt;=1,J76,0)</f>
        <v>5.33</v>
      </c>
      <c r="AX85">
        <f>IF(Source!BI35=2,J76+J77+J83+J84,0)</f>
        <v>0</v>
      </c>
      <c r="AY85">
        <f>IF(Source!BI35=2,0,0)</f>
        <v>0</v>
      </c>
      <c r="AZ85">
        <f>IF(Source!BI35=2,J77,0)</f>
        <v>0</v>
      </c>
      <c r="BA85">
        <f>IF(Source!BI35=2,J76,0)</f>
        <v>0</v>
      </c>
    </row>
    <row r="87" spans="1:95" ht="15">
      <c r="A87" s="66"/>
      <c r="B87" s="67"/>
      <c r="C87" s="143" t="s">
        <v>412</v>
      </c>
      <c r="D87" s="143"/>
      <c r="E87" s="143"/>
      <c r="F87" s="143"/>
      <c r="G87" s="143"/>
      <c r="H87" s="143"/>
      <c r="I87" s="68"/>
      <c r="J87" s="69">
        <f>J89+J90+J91+J92</f>
        <v>629.65</v>
      </c>
      <c r="K87" s="69"/>
      <c r="L87" s="69">
        <f>L89+L90+L91+L92</f>
        <v>20076.11</v>
      </c>
      <c r="CQ87" s="78" t="s">
        <v>412</v>
      </c>
    </row>
    <row r="88" spans="1:12" ht="14.25">
      <c r="A88" s="70"/>
      <c r="B88" s="71"/>
      <c r="C88" s="142" t="s">
        <v>413</v>
      </c>
      <c r="D88" s="131"/>
      <c r="E88" s="131"/>
      <c r="F88" s="131"/>
      <c r="G88" s="131"/>
      <c r="H88" s="131"/>
      <c r="I88" s="72"/>
      <c r="J88" s="73"/>
      <c r="K88" s="73"/>
      <c r="L88" s="73"/>
    </row>
    <row r="89" spans="1:12" ht="14.25">
      <c r="A89" s="70"/>
      <c r="B89" s="71"/>
      <c r="C89" s="131" t="s">
        <v>414</v>
      </c>
      <c r="D89" s="131"/>
      <c r="E89" s="131"/>
      <c r="F89" s="131"/>
      <c r="G89" s="131"/>
      <c r="H89" s="131"/>
      <c r="I89" s="72"/>
      <c r="J89" s="73">
        <f>SUM(Q48:Q85)</f>
        <v>487.12999999999994</v>
      </c>
      <c r="K89" s="73"/>
      <c r="L89" s="73">
        <f>SUM(U48:U85)</f>
        <v>18189.28</v>
      </c>
    </row>
    <row r="90" spans="1:12" ht="14.25">
      <c r="A90" s="70"/>
      <c r="B90" s="71"/>
      <c r="C90" s="131" t="s">
        <v>415</v>
      </c>
      <c r="D90" s="131"/>
      <c r="E90" s="131"/>
      <c r="F90" s="131"/>
      <c r="G90" s="131"/>
      <c r="H90" s="131"/>
      <c r="I90" s="72"/>
      <c r="J90" s="73">
        <f>SUM(AB48:AB85)</f>
        <v>142.52</v>
      </c>
      <c r="K90" s="73"/>
      <c r="L90" s="73">
        <f>SUM(AD48:AD85)</f>
        <v>1886.83</v>
      </c>
    </row>
    <row r="91" spans="1:12" ht="13.5" customHeight="1" hidden="1">
      <c r="A91" s="70"/>
      <c r="B91" s="71"/>
      <c r="C91" s="131" t="s">
        <v>416</v>
      </c>
      <c r="D91" s="131"/>
      <c r="E91" s="131"/>
      <c r="F91" s="131"/>
      <c r="G91" s="131"/>
      <c r="H91" s="131"/>
      <c r="I91" s="72"/>
      <c r="J91" s="73">
        <f>SUM(AF48:AF85)-J96</f>
        <v>0</v>
      </c>
      <c r="K91" s="73"/>
      <c r="L91" s="73">
        <f>Source!P40-L96</f>
        <v>0</v>
      </c>
    </row>
    <row r="92" spans="1:12" ht="13.5" customHeight="1" hidden="1">
      <c r="A92" s="70"/>
      <c r="B92" s="71"/>
      <c r="C92" s="131" t="s">
        <v>417</v>
      </c>
      <c r="D92" s="131"/>
      <c r="E92" s="131"/>
      <c r="F92" s="131"/>
      <c r="G92" s="131"/>
      <c r="H92" s="131"/>
      <c r="I92" s="72"/>
      <c r="J92" s="73">
        <f>SUM(AR48:AR85)+SUM(BB48:BB85)+SUM(BI48:BI85)+SUM(BP48:BP85)</f>
        <v>0</v>
      </c>
      <c r="K92" s="73"/>
      <c r="L92" s="73">
        <f>Source!P62</f>
        <v>0</v>
      </c>
    </row>
    <row r="93" spans="1:12" ht="14.25">
      <c r="A93" s="70"/>
      <c r="B93" s="71"/>
      <c r="C93" s="131" t="s">
        <v>418</v>
      </c>
      <c r="D93" s="131"/>
      <c r="E93" s="131"/>
      <c r="F93" s="131"/>
      <c r="G93" s="131"/>
      <c r="H93" s="131"/>
      <c r="I93" s="72"/>
      <c r="J93" s="73">
        <f>SUM(Q48:Q85)+SUM(X48:X85)</f>
        <v>504.8399999999999</v>
      </c>
      <c r="K93" s="73"/>
      <c r="L93" s="73">
        <f>SUM(U48:U85)+SUM(Z48:Z85)</f>
        <v>18850.66</v>
      </c>
    </row>
    <row r="94" spans="1:12" ht="14.25">
      <c r="A94" s="70"/>
      <c r="B94" s="71"/>
      <c r="C94" s="131" t="s">
        <v>419</v>
      </c>
      <c r="D94" s="131"/>
      <c r="E94" s="131"/>
      <c r="F94" s="131"/>
      <c r="G94" s="131"/>
      <c r="H94" s="131"/>
      <c r="I94" s="72"/>
      <c r="J94" s="73">
        <f>SUM(AG48:AG85)</f>
        <v>510.30999999999995</v>
      </c>
      <c r="K94" s="73"/>
      <c r="L94" s="73">
        <f>Source!P63</f>
        <v>19054.73</v>
      </c>
    </row>
    <row r="95" spans="1:12" ht="14.25">
      <c r="A95" s="70"/>
      <c r="B95" s="71"/>
      <c r="C95" s="131" t="s">
        <v>420</v>
      </c>
      <c r="D95" s="131"/>
      <c r="E95" s="131"/>
      <c r="F95" s="131"/>
      <c r="G95" s="131"/>
      <c r="H95" s="131"/>
      <c r="I95" s="72"/>
      <c r="J95" s="73">
        <f>SUM(AI48:AI85)</f>
        <v>294.02</v>
      </c>
      <c r="K95" s="73"/>
      <c r="L95" s="73">
        <f>Source!P64</f>
        <v>10978.93</v>
      </c>
    </row>
    <row r="96" spans="1:12" ht="13.5" customHeight="1" hidden="1">
      <c r="A96" s="70"/>
      <c r="B96" s="71"/>
      <c r="C96" s="131" t="s">
        <v>421</v>
      </c>
      <c r="D96" s="131"/>
      <c r="E96" s="131"/>
      <c r="F96" s="131"/>
      <c r="G96" s="131"/>
      <c r="H96" s="131"/>
      <c r="I96" s="72"/>
      <c r="J96" s="73">
        <f>SUM(BH48:BH85)</f>
        <v>0</v>
      </c>
      <c r="K96" s="73"/>
      <c r="L96" s="73">
        <f>Source!P46</f>
        <v>0</v>
      </c>
    </row>
    <row r="97" spans="1:12" ht="13.5" customHeight="1" hidden="1">
      <c r="A97" s="70"/>
      <c r="B97" s="71"/>
      <c r="C97" s="131" t="s">
        <v>422</v>
      </c>
      <c r="D97" s="131"/>
      <c r="E97" s="131"/>
      <c r="F97" s="131"/>
      <c r="G97" s="131"/>
      <c r="H97" s="131"/>
      <c r="I97" s="72"/>
      <c r="J97" s="73">
        <f>SUM(BM48:BM85)+SUM(BN48:BN85)+SUM(BO48:BO85)+SUM(BP48:BP85)</f>
        <v>0</v>
      </c>
      <c r="K97" s="73"/>
      <c r="L97" s="73">
        <f>Source!P56</f>
        <v>0</v>
      </c>
    </row>
    <row r="98" spans="1:12" ht="15">
      <c r="A98" s="66"/>
      <c r="B98" s="67"/>
      <c r="C98" s="143" t="s">
        <v>423</v>
      </c>
      <c r="D98" s="143"/>
      <c r="E98" s="143"/>
      <c r="F98" s="143"/>
      <c r="G98" s="143"/>
      <c r="H98" s="143"/>
      <c r="I98" s="68"/>
      <c r="J98" s="69">
        <f>J87+J94+J95+J96</f>
        <v>1433.98</v>
      </c>
      <c r="K98" s="69"/>
      <c r="L98" s="69">
        <f>Source!P65</f>
        <v>50109.77</v>
      </c>
    </row>
    <row r="99" spans="1:12" ht="13.5" customHeight="1" hidden="1">
      <c r="A99" s="70"/>
      <c r="B99" s="71"/>
      <c r="C99" s="142" t="s">
        <v>424</v>
      </c>
      <c r="D99" s="131"/>
      <c r="E99" s="131"/>
      <c r="F99" s="131"/>
      <c r="G99" s="131"/>
      <c r="H99" s="131"/>
      <c r="I99" s="72"/>
      <c r="J99" s="73"/>
      <c r="K99" s="73"/>
      <c r="L99" s="73"/>
    </row>
    <row r="100" spans="1:12" ht="13.5" customHeight="1" hidden="1">
      <c r="A100" s="70"/>
      <c r="B100" s="71"/>
      <c r="C100" s="131" t="s">
        <v>425</v>
      </c>
      <c r="D100" s="131"/>
      <c r="E100" s="131"/>
      <c r="F100" s="131"/>
      <c r="G100" s="131"/>
      <c r="H100" s="131"/>
      <c r="I100" s="72"/>
      <c r="J100" s="73"/>
      <c r="K100" s="73"/>
      <c r="L100" s="73">
        <f>SUM(BS48:BS85)</f>
        <v>0</v>
      </c>
    </row>
    <row r="101" spans="1:12" ht="13.5" customHeight="1" hidden="1">
      <c r="A101" s="70"/>
      <c r="B101" s="71"/>
      <c r="C101" s="131" t="s">
        <v>426</v>
      </c>
      <c r="D101" s="131"/>
      <c r="E101" s="131"/>
      <c r="F101" s="131"/>
      <c r="G101" s="131"/>
      <c r="H101" s="131"/>
      <c r="I101" s="72"/>
      <c r="J101" s="73"/>
      <c r="K101" s="73"/>
      <c r="L101" s="73">
        <f>SUM(BT48:BT85)</f>
        <v>0</v>
      </c>
    </row>
    <row r="103" spans="1:12" ht="16.5">
      <c r="A103" s="145" t="s">
        <v>427</v>
      </c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</row>
    <row r="104" spans="1:56" ht="130.5">
      <c r="A104" s="74">
        <v>4</v>
      </c>
      <c r="B104" s="74" t="s">
        <v>428</v>
      </c>
      <c r="C104" s="74" t="s">
        <v>429</v>
      </c>
      <c r="D104" s="55" t="str">
        <f>Source!DW72</f>
        <v>100 м2</v>
      </c>
      <c r="E104" s="56">
        <f>Source!K72</f>
        <v>0.97</v>
      </c>
      <c r="F104" s="56"/>
      <c r="G104" s="56">
        <f>Source!I72</f>
        <v>0.97</v>
      </c>
      <c r="H104" s="57"/>
      <c r="I104" s="58"/>
      <c r="J104" s="57"/>
      <c r="K104" s="58"/>
      <c r="L104" s="57"/>
      <c r="AG104">
        <f>ROUND((Source!AT72/100)*((ROUND(Source!AF72*Source!I72,2)+ROUND(Source!AE72*Source!I72,2))),2)</f>
        <v>255.76</v>
      </c>
      <c r="AH104">
        <f>Source!X72</f>
        <v>9549.84</v>
      </c>
      <c r="AI104">
        <f>ROUND((Source!AU72/100)*((ROUND(Source!AF72*Source!I72,2)+ROUND(Source!AE72*Source!I72,2))),2)</f>
        <v>126.31</v>
      </c>
      <c r="AJ104">
        <f>Source!Y72</f>
        <v>4716.51</v>
      </c>
      <c r="AS104">
        <f>IF(Source!BI72&lt;=1,AH104,0)</f>
        <v>9549.84</v>
      </c>
      <c r="AT104">
        <f>IF(Source!BI72&lt;=1,AJ104,0)</f>
        <v>4716.51</v>
      </c>
      <c r="BC104">
        <f>IF(Source!BI72=2,AH104,0)</f>
        <v>0</v>
      </c>
      <c r="BD104">
        <f>IF(Source!BI72=2,AJ104,0)</f>
        <v>0</v>
      </c>
    </row>
    <row r="105" ht="38.25">
      <c r="B105" s="48" t="str">
        <f>Source!EO72</f>
        <v>Поправка: М-ка 421/пр 04.08.20 п.58 п.п. б)</v>
      </c>
    </row>
    <row r="106" ht="12.75">
      <c r="C106" s="45" t="str">
        <f>"Объем: "&amp;Source!K72&amp;"=97/"&amp;"100"</f>
        <v>Объем: 0,97=97/100</v>
      </c>
    </row>
    <row r="107" spans="1:12" ht="14.25">
      <c r="A107" s="74"/>
      <c r="B107" s="75">
        <v>1</v>
      </c>
      <c r="C107" s="74" t="s">
        <v>394</v>
      </c>
      <c r="D107" s="55"/>
      <c r="E107" s="56"/>
      <c r="F107" s="56"/>
      <c r="G107" s="56"/>
      <c r="H107" s="57">
        <f>Source!AO72</f>
        <v>209.95</v>
      </c>
      <c r="I107" s="58">
        <f>ROUND(1.15,7)</f>
        <v>1.15</v>
      </c>
      <c r="J107" s="57">
        <f>ROUND(Source!AF72*Source!I72,2)</f>
        <v>234.2</v>
      </c>
      <c r="K107" s="58">
        <f>IF(Source!BA72&lt;&gt;0,Source!BA72,1)</f>
        <v>37.34</v>
      </c>
      <c r="L107" s="57">
        <f>Source!S72</f>
        <v>8744.91</v>
      </c>
    </row>
    <row r="108" spans="1:12" ht="14.25">
      <c r="A108" s="74"/>
      <c r="B108" s="75">
        <v>3</v>
      </c>
      <c r="C108" s="74" t="s">
        <v>395</v>
      </c>
      <c r="D108" s="55"/>
      <c r="E108" s="56"/>
      <c r="F108" s="56"/>
      <c r="G108" s="56"/>
      <c r="H108" s="57">
        <f>Source!AM72</f>
        <v>189.93</v>
      </c>
      <c r="I108" s="58">
        <f>ROUND(1.25,7)</f>
        <v>1.25</v>
      </c>
      <c r="J108" s="57">
        <f>ROUND(((((Source!ET72*ROUND(1.25,7)))-((Source!EU72*ROUND(1.25,7))))+Source!AE72)*Source!I72,2)</f>
        <v>230.29</v>
      </c>
      <c r="K108" s="58">
        <f>IF(Source!BB72&lt;&gt;0,Source!BB72,1)</f>
        <v>13.24</v>
      </c>
      <c r="L108" s="57">
        <f>Source!Q72</f>
        <v>3049.22</v>
      </c>
    </row>
    <row r="109" spans="1:12" ht="14.25">
      <c r="A109" s="74"/>
      <c r="B109" s="75">
        <v>2</v>
      </c>
      <c r="C109" s="74" t="s">
        <v>406</v>
      </c>
      <c r="D109" s="55"/>
      <c r="E109" s="56"/>
      <c r="F109" s="56"/>
      <c r="G109" s="56"/>
      <c r="H109" s="57">
        <f>Source!AN72</f>
        <v>21.86</v>
      </c>
      <c r="I109" s="58">
        <f>ROUND(1.25,7)</f>
        <v>1.25</v>
      </c>
      <c r="J109" s="63">
        <f>ROUND(Source!AE72*Source!I72,2)</f>
        <v>26.51</v>
      </c>
      <c r="K109" s="58">
        <f>IF(Source!BS72&lt;&gt;0,Source!BS72,1)</f>
        <v>37.34</v>
      </c>
      <c r="L109" s="63">
        <f>Source!R72</f>
        <v>989.89</v>
      </c>
    </row>
    <row r="110" spans="1:12" ht="14.25">
      <c r="A110" s="74"/>
      <c r="B110" s="75">
        <v>4</v>
      </c>
      <c r="C110" s="74" t="s">
        <v>430</v>
      </c>
      <c r="D110" s="55"/>
      <c r="E110" s="56"/>
      <c r="F110" s="56"/>
      <c r="G110" s="56"/>
      <c r="H110" s="57">
        <f>Source!AL72</f>
        <v>36.67</v>
      </c>
      <c r="I110" s="58"/>
      <c r="J110" s="57">
        <f>ROUND(Source!AC72*Source!I72,2)</f>
        <v>35.57</v>
      </c>
      <c r="K110" s="58">
        <f>IF(Source!BC72&lt;&gt;0,Source!BC72,1)</f>
        <v>6.72</v>
      </c>
      <c r="L110" s="57">
        <f>Source!P72</f>
        <v>239.03</v>
      </c>
    </row>
    <row r="111" spans="1:12" ht="14.25">
      <c r="A111" s="74"/>
      <c r="B111" s="74"/>
      <c r="C111" s="74" t="s">
        <v>396</v>
      </c>
      <c r="D111" s="55" t="s">
        <v>397</v>
      </c>
      <c r="E111" s="56">
        <f>Source!AQ72</f>
        <v>24.3</v>
      </c>
      <c r="F111" s="56">
        <f>ROUND(1.15,7)</f>
        <v>1.15</v>
      </c>
      <c r="G111" s="111">
        <f>ROUND(Source!U72,7)</f>
        <v>27.10665</v>
      </c>
      <c r="H111" s="57"/>
      <c r="I111" s="58"/>
      <c r="J111" s="57"/>
      <c r="K111" s="58"/>
      <c r="L111" s="57"/>
    </row>
    <row r="112" spans="1:12" ht="14.25">
      <c r="A112" s="74"/>
      <c r="B112" s="74"/>
      <c r="C112" s="76" t="s">
        <v>407</v>
      </c>
      <c r="D112" s="59" t="s">
        <v>397</v>
      </c>
      <c r="E112" s="60">
        <f>Source!AR72</f>
        <v>1.94</v>
      </c>
      <c r="F112" s="60">
        <f>ROUND(1.25,7)</f>
        <v>1.25</v>
      </c>
      <c r="G112" s="110">
        <f>ROUND(Source!V72,7)</f>
        <v>2.35225</v>
      </c>
      <c r="H112" s="61"/>
      <c r="I112" s="62"/>
      <c r="J112" s="61"/>
      <c r="K112" s="62"/>
      <c r="L112" s="61"/>
    </row>
    <row r="113" spans="1:12" ht="14.25">
      <c r="A113" s="74"/>
      <c r="B113" s="74"/>
      <c r="C113" s="74" t="s">
        <v>398</v>
      </c>
      <c r="D113" s="55"/>
      <c r="E113" s="56"/>
      <c r="F113" s="56"/>
      <c r="G113" s="56"/>
      <c r="H113" s="57">
        <f>H107+H108+H110</f>
        <v>436.55</v>
      </c>
      <c r="I113" s="58"/>
      <c r="J113" s="57">
        <f>J107+J108+J110</f>
        <v>500.06</v>
      </c>
      <c r="K113" s="58"/>
      <c r="L113" s="57">
        <f>L107+L108+L110</f>
        <v>12033.16</v>
      </c>
    </row>
    <row r="114" spans="1:56" ht="28.5">
      <c r="A114" s="74" t="s">
        <v>126</v>
      </c>
      <c r="B114" s="74" t="s">
        <v>431</v>
      </c>
      <c r="C114" s="74" t="str">
        <f>Source!G74</f>
        <v>Смеси сухие цементные (пескобетон), класс B22,5 (M300)</v>
      </c>
      <c r="D114" s="55" t="str">
        <f>Source!DW74</f>
        <v>т</v>
      </c>
      <c r="E114" s="111">
        <f>SmtRes!AT37</f>
        <v>2.707966</v>
      </c>
      <c r="F114" s="56"/>
      <c r="G114" s="111">
        <f>Source!I74</f>
        <v>2.626727</v>
      </c>
      <c r="H114" s="57">
        <f>Source!AL74+Source!AO74+Source!AM74</f>
        <v>1243.05</v>
      </c>
      <c r="I114" s="58"/>
      <c r="J114" s="57">
        <f>ROUND(Source!AC74*Source!I74,2)+ROUND((((Source!ET74)-(Source!EU74))+Source!AE74)*Source!I74,2)+ROUND(Source!AF74*Source!I74,2)</f>
        <v>3265.15</v>
      </c>
      <c r="K114" s="58">
        <f>IF(Source!BC74&lt;&gt;0,Source!BC74,1)</f>
        <v>6.72</v>
      </c>
      <c r="L114" s="57">
        <f>Source!O74</f>
        <v>21941.83</v>
      </c>
      <c r="AF114" s="47">
        <f>J114</f>
        <v>3265.15</v>
      </c>
      <c r="AG114">
        <f>ROUND((Source!AT74/100)*((ROUND(Source!AF74*Source!I74,2)+ROUND(Source!AE74*Source!I74,2))),2)</f>
        <v>0</v>
      </c>
      <c r="AH114">
        <f>Source!X74</f>
        <v>0</v>
      </c>
      <c r="AI114">
        <f>ROUND((Source!AU74/100)*((ROUND(Source!AF74*Source!I74,2)+ROUND(Source!AE74*Source!I74,2))),2)</f>
        <v>0</v>
      </c>
      <c r="AJ114">
        <f>Source!Y74</f>
        <v>0</v>
      </c>
      <c r="AN114">
        <f>IF(Source!BI74&lt;=1,J114,0)</f>
        <v>3265.15</v>
      </c>
      <c r="AO114">
        <f>IF(Source!BI74&lt;=1,J114,0)</f>
        <v>3265.15</v>
      </c>
      <c r="AS114">
        <f>IF(Source!BI74&lt;=1,AH114,0)</f>
        <v>0</v>
      </c>
      <c r="AT114">
        <f>IF(Source!BI74&lt;=1,AJ114,0)</f>
        <v>0</v>
      </c>
      <c r="AX114">
        <f>IF(Source!BI74=2,J114,0)</f>
        <v>0</v>
      </c>
      <c r="AY114">
        <f>IF(Source!BI74=2,J114,0)</f>
        <v>0</v>
      </c>
      <c r="BC114">
        <f>IF(Source!BI74=2,AH114,0)</f>
        <v>0</v>
      </c>
      <c r="BD114">
        <f>IF(Source!BI74=2,AJ114,0)</f>
        <v>0</v>
      </c>
    </row>
    <row r="115" spans="1:12" ht="14.25">
      <c r="A115" s="74"/>
      <c r="B115" s="74"/>
      <c r="C115" s="74" t="s">
        <v>399</v>
      </c>
      <c r="D115" s="55"/>
      <c r="E115" s="56"/>
      <c r="F115" s="56"/>
      <c r="G115" s="56"/>
      <c r="H115" s="57"/>
      <c r="I115" s="58"/>
      <c r="J115" s="57">
        <f>SUM(Q104:Q118)+SUM(V104:V118)+SUM(X104:X118)+SUM(Y104:Y118)</f>
        <v>260.71</v>
      </c>
      <c r="K115" s="58"/>
      <c r="L115" s="57">
        <f>SUM(U104:U118)+SUM(W104:W118)+SUM(Z104:Z118)+SUM(AA104:AA118)</f>
        <v>9734.8</v>
      </c>
    </row>
    <row r="116" spans="1:12" ht="28.5">
      <c r="A116" s="74"/>
      <c r="B116" s="74" t="s">
        <v>432</v>
      </c>
      <c r="C116" s="74" t="s">
        <v>433</v>
      </c>
      <c r="D116" s="55" t="s">
        <v>401</v>
      </c>
      <c r="E116" s="56">
        <f>Source!BZ72</f>
        <v>109</v>
      </c>
      <c r="F116" s="56">
        <f>ROUND(0.9,7)</f>
        <v>0.9</v>
      </c>
      <c r="G116" s="56">
        <f>Source!AT72</f>
        <v>98.1</v>
      </c>
      <c r="H116" s="57"/>
      <c r="I116" s="58"/>
      <c r="J116" s="57">
        <f>SUM(AG104:AG118)</f>
        <v>255.76</v>
      </c>
      <c r="K116" s="58"/>
      <c r="L116" s="57">
        <f>SUM(AH104:AH118)</f>
        <v>9549.84</v>
      </c>
    </row>
    <row r="117" spans="1:12" ht="28.5">
      <c r="A117" s="76"/>
      <c r="B117" s="76" t="s">
        <v>434</v>
      </c>
      <c r="C117" s="76" t="s">
        <v>435</v>
      </c>
      <c r="D117" s="59" t="s">
        <v>401</v>
      </c>
      <c r="E117" s="60">
        <f>Source!CA72</f>
        <v>57</v>
      </c>
      <c r="F117" s="60">
        <f>ROUND(0.85,7)</f>
        <v>0.85</v>
      </c>
      <c r="G117" s="60">
        <f>Source!AU72</f>
        <v>48.45</v>
      </c>
      <c r="H117" s="61"/>
      <c r="I117" s="62"/>
      <c r="J117" s="61">
        <f>SUM(AI104:AI118)</f>
        <v>126.31</v>
      </c>
      <c r="K117" s="62"/>
      <c r="L117" s="61">
        <f>SUM(AJ104:AJ118)</f>
        <v>4716.51</v>
      </c>
    </row>
    <row r="118" spans="3:53" ht="15">
      <c r="C118" s="144" t="s">
        <v>403</v>
      </c>
      <c r="D118" s="144"/>
      <c r="E118" s="144"/>
      <c r="F118" s="144"/>
      <c r="G118" s="144"/>
      <c r="H118" s="144"/>
      <c r="I118" s="144">
        <f>J107+J108+J110+J116+J117+SUM(J114:J114)</f>
        <v>4147.28</v>
      </c>
      <c r="J118" s="144"/>
      <c r="K118" s="144">
        <f>L107+L108+L110+L116+L117+SUM(L114:L114)</f>
        <v>48241.340000000004</v>
      </c>
      <c r="L118" s="144"/>
      <c r="O118" s="47">
        <f>I118</f>
        <v>4147.28</v>
      </c>
      <c r="P118" s="47">
        <f>K118</f>
        <v>48241.340000000004</v>
      </c>
      <c r="Q118" s="47">
        <f>J107</f>
        <v>234.2</v>
      </c>
      <c r="R118" s="47">
        <f>J107</f>
        <v>234.2</v>
      </c>
      <c r="U118" s="47">
        <f>L107</f>
        <v>8744.91</v>
      </c>
      <c r="X118" s="47">
        <f>J109</f>
        <v>26.51</v>
      </c>
      <c r="Z118" s="47">
        <f>L109</f>
        <v>989.89</v>
      </c>
      <c r="AB118" s="47">
        <f>J108</f>
        <v>230.29</v>
      </c>
      <c r="AD118" s="47">
        <f>L108</f>
        <v>3049.22</v>
      </c>
      <c r="AF118" s="47">
        <f>J110</f>
        <v>35.57</v>
      </c>
      <c r="AN118">
        <f>IF(Source!BI72&lt;=1,J107+J108+J110+J116+J117,0)</f>
        <v>882.1299999999999</v>
      </c>
      <c r="AO118">
        <f>IF(Source!BI72&lt;=1,J110,0)</f>
        <v>35.57</v>
      </c>
      <c r="AP118">
        <f>IF(Source!BI72&lt;=1,J108,0)</f>
        <v>230.29</v>
      </c>
      <c r="AQ118">
        <f>IF(Source!BI72&lt;=1,J107,0)</f>
        <v>234.2</v>
      </c>
      <c r="AX118">
        <f>IF(Source!BI72=2,J107+J108+J110+J116+J117,0)</f>
        <v>0</v>
      </c>
      <c r="AY118">
        <f>IF(Source!BI72=2,J110,0)</f>
        <v>0</v>
      </c>
      <c r="AZ118">
        <f>IF(Source!BI72=2,J108,0)</f>
        <v>0</v>
      </c>
      <c r="BA118">
        <f>IF(Source!BI72=2,J107,0)</f>
        <v>0</v>
      </c>
    </row>
    <row r="119" spans="1:56" ht="171.75">
      <c r="A119" s="74">
        <v>5</v>
      </c>
      <c r="B119" s="74" t="s">
        <v>436</v>
      </c>
      <c r="C119" s="74" t="s">
        <v>437</v>
      </c>
      <c r="D119" s="55" t="str">
        <f>Source!DW76</f>
        <v>100 м2</v>
      </c>
      <c r="E119" s="56">
        <f>Source!K76</f>
        <v>0.97</v>
      </c>
      <c r="F119" s="56"/>
      <c r="G119" s="56">
        <f>Source!I76</f>
        <v>0.97</v>
      </c>
      <c r="H119" s="57"/>
      <c r="I119" s="58"/>
      <c r="J119" s="57"/>
      <c r="K119" s="58"/>
      <c r="L119" s="57"/>
      <c r="AG119">
        <f>ROUND((Source!AT76/100)*((ROUND(Source!AF76*Source!I76,2)+ROUND(Source!AE76*Source!I76,2))),2)</f>
        <v>147.9</v>
      </c>
      <c r="AH119">
        <f>Source!X76</f>
        <v>5522.32</v>
      </c>
      <c r="AI119">
        <f>ROUND((Source!AU76/100)*((ROUND(Source!AF76*Source!I76,2)+ROUND(Source!AE76*Source!I76,2))),2)</f>
        <v>73.04</v>
      </c>
      <c r="AJ119">
        <f>Source!Y76</f>
        <v>2727.39</v>
      </c>
      <c r="AS119">
        <f>IF(Source!BI76&lt;=1,AH119,0)</f>
        <v>5522.32</v>
      </c>
      <c r="AT119">
        <f>IF(Source!BI76&lt;=1,AJ119,0)</f>
        <v>2727.39</v>
      </c>
      <c r="BC119">
        <f>IF(Source!BI76=2,AH119,0)</f>
        <v>0</v>
      </c>
      <c r="BD119">
        <f>IF(Source!BI76=2,AJ119,0)</f>
        <v>0</v>
      </c>
    </row>
    <row r="120" ht="38.25">
      <c r="B120" s="48" t="str">
        <f>Source!EO76</f>
        <v>Поправка: М-ка 421/пр 04.08.20 п.58 п.п. б)</v>
      </c>
    </row>
    <row r="121" ht="12.75">
      <c r="C121" s="45" t="str">
        <f>"Объем: "&amp;Source!K76&amp;"=97/"&amp;"100"</f>
        <v>Объем: 0,97=97/100</v>
      </c>
    </row>
    <row r="122" spans="1:12" ht="14.25">
      <c r="A122" s="74"/>
      <c r="B122" s="75">
        <v>1</v>
      </c>
      <c r="C122" s="74" t="s">
        <v>394</v>
      </c>
      <c r="D122" s="55"/>
      <c r="E122" s="56"/>
      <c r="F122" s="56"/>
      <c r="G122" s="56"/>
      <c r="H122" s="57">
        <f>Source!AO76</f>
        <v>8.64</v>
      </c>
      <c r="I122" s="58">
        <f>ROUND((1.15)*15,7)</f>
        <v>17.25</v>
      </c>
      <c r="J122" s="57">
        <f>ROUND(Source!AF76*Source!I76,2)</f>
        <v>144.57</v>
      </c>
      <c r="K122" s="58">
        <f>IF(Source!BA76&lt;&gt;0,Source!BA76,1)</f>
        <v>37.34</v>
      </c>
      <c r="L122" s="57">
        <f>Source!S76</f>
        <v>5398.2</v>
      </c>
    </row>
    <row r="123" spans="1:12" ht="14.25">
      <c r="A123" s="74"/>
      <c r="B123" s="75">
        <v>3</v>
      </c>
      <c r="C123" s="74" t="s">
        <v>395</v>
      </c>
      <c r="D123" s="55"/>
      <c r="E123" s="56"/>
      <c r="F123" s="56"/>
      <c r="G123" s="56"/>
      <c r="H123" s="57">
        <f>Source!AM76</f>
        <v>2.66</v>
      </c>
      <c r="I123" s="58">
        <f>ROUND((1.25)*15,7)</f>
        <v>18.75</v>
      </c>
      <c r="J123" s="57">
        <f>ROUND(((((Source!ET76*ROUND((1.25*15),7)))-((Source!EU76*ROUND((1.25*15),7))))+Source!AE76)*Source!I76,2)</f>
        <v>48.38</v>
      </c>
      <c r="K123" s="58">
        <f>IF(Source!BB76&lt;&gt;0,Source!BB76,1)</f>
        <v>13.24</v>
      </c>
      <c r="L123" s="57">
        <f>Source!Q76</f>
        <v>640.72</v>
      </c>
    </row>
    <row r="124" spans="1:12" ht="14.25">
      <c r="A124" s="74"/>
      <c r="B124" s="75">
        <v>2</v>
      </c>
      <c r="C124" s="74" t="s">
        <v>406</v>
      </c>
      <c r="D124" s="55"/>
      <c r="E124" s="56"/>
      <c r="F124" s="56"/>
      <c r="G124" s="56"/>
      <c r="H124" s="57">
        <f>Source!AN76</f>
        <v>0.34</v>
      </c>
      <c r="I124" s="58">
        <f>ROUND((1.25)*15,7)</f>
        <v>18.75</v>
      </c>
      <c r="J124" s="63">
        <f>ROUND(Source!AE76*Source!I76,2)</f>
        <v>6.19</v>
      </c>
      <c r="K124" s="58">
        <f>IF(Source!BS76&lt;&gt;0,Source!BS76,1)</f>
        <v>37.34</v>
      </c>
      <c r="L124" s="63">
        <f>Source!R76</f>
        <v>231.08</v>
      </c>
    </row>
    <row r="125" spans="1:12" ht="14.25">
      <c r="A125" s="74"/>
      <c r="B125" s="74"/>
      <c r="C125" s="74" t="s">
        <v>396</v>
      </c>
      <c r="D125" s="55" t="s">
        <v>397</v>
      </c>
      <c r="E125" s="56">
        <f>Source!AQ76</f>
        <v>1</v>
      </c>
      <c r="F125" s="56">
        <f>ROUND((1.15)*15,7)</f>
        <v>17.25</v>
      </c>
      <c r="G125" s="111">
        <f>ROUND(Source!U76,7)</f>
        <v>16.7325</v>
      </c>
      <c r="H125" s="57"/>
      <c r="I125" s="58"/>
      <c r="J125" s="57"/>
      <c r="K125" s="58"/>
      <c r="L125" s="57"/>
    </row>
    <row r="126" spans="1:12" ht="14.25">
      <c r="A126" s="74"/>
      <c r="B126" s="74"/>
      <c r="C126" s="76" t="s">
        <v>407</v>
      </c>
      <c r="D126" s="59" t="s">
        <v>397</v>
      </c>
      <c r="E126" s="60">
        <f>Source!AR76</f>
        <v>0.03</v>
      </c>
      <c r="F126" s="60">
        <f>ROUND((1.25)*15,7)</f>
        <v>18.75</v>
      </c>
      <c r="G126" s="110">
        <f>ROUND(Source!V76,7)</f>
        <v>0.545625</v>
      </c>
      <c r="H126" s="61"/>
      <c r="I126" s="62"/>
      <c r="J126" s="61"/>
      <c r="K126" s="62"/>
      <c r="L126" s="61"/>
    </row>
    <row r="127" spans="1:12" ht="14.25">
      <c r="A127" s="74"/>
      <c r="B127" s="74"/>
      <c r="C127" s="74" t="s">
        <v>398</v>
      </c>
      <c r="D127" s="55"/>
      <c r="E127" s="56"/>
      <c r="F127" s="56"/>
      <c r="G127" s="56"/>
      <c r="H127" s="57">
        <f>H122+H123</f>
        <v>11.3</v>
      </c>
      <c r="I127" s="58"/>
      <c r="J127" s="57">
        <f>J122+J123</f>
        <v>192.95</v>
      </c>
      <c r="K127" s="58"/>
      <c r="L127" s="57">
        <f>L122+L123</f>
        <v>6038.92</v>
      </c>
    </row>
    <row r="128" spans="1:56" ht="28.5">
      <c r="A128" s="74" t="s">
        <v>138</v>
      </c>
      <c r="B128" s="74" t="s">
        <v>431</v>
      </c>
      <c r="C128" s="74" t="str">
        <f>Source!G78</f>
        <v>Смеси сухие цементные (пескобетон), класс B22,5 (M300)</v>
      </c>
      <c r="D128" s="55" t="str">
        <f>Source!DW78</f>
        <v>т</v>
      </c>
      <c r="E128" s="111">
        <f>SmtRes!AT48</f>
        <v>2.707695</v>
      </c>
      <c r="F128" s="56"/>
      <c r="G128" s="111">
        <f>Source!I78</f>
        <v>2.626464</v>
      </c>
      <c r="H128" s="57">
        <f>Source!AL78+Source!AO78+Source!AM78</f>
        <v>1243.05</v>
      </c>
      <c r="I128" s="58"/>
      <c r="J128" s="57">
        <f>ROUND(Source!AC78*Source!I78,2)+ROUND((((Source!ET78)-(Source!EU78))+Source!AE78)*Source!I78,2)+ROUND(Source!AF78*Source!I78,2)</f>
        <v>3264.83</v>
      </c>
      <c r="K128" s="58">
        <f>IF(Source!BC78&lt;&gt;0,Source!BC78,1)</f>
        <v>6.72</v>
      </c>
      <c r="L128" s="57">
        <f>Source!O78</f>
        <v>21939.63</v>
      </c>
      <c r="AF128" s="47">
        <f>J128</f>
        <v>3264.83</v>
      </c>
      <c r="AG128">
        <f>ROUND((Source!AT78/100)*((ROUND(Source!AF78*Source!I78,2)+ROUND(Source!AE78*Source!I78,2))),2)</f>
        <v>0</v>
      </c>
      <c r="AH128">
        <f>Source!X78</f>
        <v>0</v>
      </c>
      <c r="AI128">
        <f>ROUND((Source!AU78/100)*((ROUND(Source!AF78*Source!I78,2)+ROUND(Source!AE78*Source!I78,2))),2)</f>
        <v>0</v>
      </c>
      <c r="AJ128">
        <f>Source!Y78</f>
        <v>0</v>
      </c>
      <c r="AN128">
        <f>IF(Source!BI78&lt;=1,J128,0)</f>
        <v>3264.83</v>
      </c>
      <c r="AO128">
        <f>IF(Source!BI78&lt;=1,J128,0)</f>
        <v>3264.83</v>
      </c>
      <c r="AS128">
        <f>IF(Source!BI78&lt;=1,AH128,0)</f>
        <v>0</v>
      </c>
      <c r="AT128">
        <f>IF(Source!BI78&lt;=1,AJ128,0)</f>
        <v>0</v>
      </c>
      <c r="AX128">
        <f>IF(Source!BI78=2,J128,0)</f>
        <v>0</v>
      </c>
      <c r="AY128">
        <f>IF(Source!BI78=2,J128,0)</f>
        <v>0</v>
      </c>
      <c r="BC128">
        <f>IF(Source!BI78=2,AH128,0)</f>
        <v>0</v>
      </c>
      <c r="BD128">
        <f>IF(Source!BI78=2,AJ128,0)</f>
        <v>0</v>
      </c>
    </row>
    <row r="129" spans="1:12" ht="14.25">
      <c r="A129" s="74"/>
      <c r="B129" s="74"/>
      <c r="C129" s="74" t="s">
        <v>399</v>
      </c>
      <c r="D129" s="55"/>
      <c r="E129" s="56"/>
      <c r="F129" s="56"/>
      <c r="G129" s="56"/>
      <c r="H129" s="57"/>
      <c r="I129" s="58"/>
      <c r="J129" s="57">
        <f>SUM(Q119:Q132)+SUM(V119:V132)+SUM(X119:X132)+SUM(Y119:Y132)</f>
        <v>150.76</v>
      </c>
      <c r="K129" s="58"/>
      <c r="L129" s="57">
        <f>SUM(U119:U132)+SUM(W119:W132)+SUM(Z119:Z132)+SUM(AA119:AA132)</f>
        <v>5629.28</v>
      </c>
    </row>
    <row r="130" spans="1:12" ht="28.5">
      <c r="A130" s="74"/>
      <c r="B130" s="74" t="s">
        <v>432</v>
      </c>
      <c r="C130" s="74" t="s">
        <v>433</v>
      </c>
      <c r="D130" s="55" t="s">
        <v>401</v>
      </c>
      <c r="E130" s="56">
        <f>Source!BZ76</f>
        <v>109</v>
      </c>
      <c r="F130" s="56">
        <f>ROUND(0.9,7)</f>
        <v>0.9</v>
      </c>
      <c r="G130" s="56">
        <f>Source!AT76</f>
        <v>98.1</v>
      </c>
      <c r="H130" s="57"/>
      <c r="I130" s="58"/>
      <c r="J130" s="57">
        <f>SUM(AG119:AG132)</f>
        <v>147.9</v>
      </c>
      <c r="K130" s="58"/>
      <c r="L130" s="57">
        <f>SUM(AH119:AH132)</f>
        <v>5522.32</v>
      </c>
    </row>
    <row r="131" spans="1:12" ht="28.5">
      <c r="A131" s="76"/>
      <c r="B131" s="76" t="s">
        <v>434</v>
      </c>
      <c r="C131" s="76" t="s">
        <v>435</v>
      </c>
      <c r="D131" s="59" t="s">
        <v>401</v>
      </c>
      <c r="E131" s="60">
        <f>Source!CA76</f>
        <v>57</v>
      </c>
      <c r="F131" s="60">
        <f>ROUND(0.85,7)</f>
        <v>0.85</v>
      </c>
      <c r="G131" s="60">
        <f>Source!AU76</f>
        <v>48.45</v>
      </c>
      <c r="H131" s="61"/>
      <c r="I131" s="62"/>
      <c r="J131" s="61">
        <f>SUM(AI119:AI132)</f>
        <v>73.04</v>
      </c>
      <c r="K131" s="62"/>
      <c r="L131" s="61">
        <f>SUM(AJ119:AJ132)</f>
        <v>2727.39</v>
      </c>
    </row>
    <row r="132" spans="3:53" ht="15">
      <c r="C132" s="144" t="s">
        <v>403</v>
      </c>
      <c r="D132" s="144"/>
      <c r="E132" s="144"/>
      <c r="F132" s="144"/>
      <c r="G132" s="144"/>
      <c r="H132" s="144"/>
      <c r="I132" s="144">
        <f>J122+J123+J130+J131+SUM(J128:J128)</f>
        <v>3678.72</v>
      </c>
      <c r="J132" s="144"/>
      <c r="K132" s="144">
        <f>L122+L123+L130+L131+SUM(L128:L128)</f>
        <v>36228.26</v>
      </c>
      <c r="L132" s="144"/>
      <c r="O132" s="47">
        <f>I132</f>
        <v>3678.72</v>
      </c>
      <c r="P132" s="47">
        <f>K132</f>
        <v>36228.26</v>
      </c>
      <c r="Q132" s="47">
        <f>J122</f>
        <v>144.57</v>
      </c>
      <c r="R132" s="47">
        <f>J122</f>
        <v>144.57</v>
      </c>
      <c r="U132" s="47">
        <f>L122</f>
        <v>5398.2</v>
      </c>
      <c r="X132" s="47">
        <f>J124</f>
        <v>6.19</v>
      </c>
      <c r="Z132" s="47">
        <f>L124</f>
        <v>231.08</v>
      </c>
      <c r="AB132" s="47">
        <f>J123</f>
        <v>48.38</v>
      </c>
      <c r="AD132" s="47">
        <f>L123</f>
        <v>640.72</v>
      </c>
      <c r="AF132">
        <f>0</f>
        <v>0</v>
      </c>
      <c r="AN132">
        <f>IF(Source!BI76&lt;=1,J122+J123+J130+J131,0)</f>
        <v>413.89000000000004</v>
      </c>
      <c r="AO132">
        <f>IF(Source!BI76&lt;=1,0,0)</f>
        <v>0</v>
      </c>
      <c r="AP132">
        <f>IF(Source!BI76&lt;=1,J123,0)</f>
        <v>48.38</v>
      </c>
      <c r="AQ132">
        <f>IF(Source!BI76&lt;=1,J122,0)</f>
        <v>144.57</v>
      </c>
      <c r="AX132">
        <f>IF(Source!BI76=2,J122+J123+J130+J131,0)</f>
        <v>0</v>
      </c>
      <c r="AY132">
        <f>IF(Source!BI76=2,0,0)</f>
        <v>0</v>
      </c>
      <c r="AZ132">
        <f>IF(Source!BI76=2,J123,0)</f>
        <v>0</v>
      </c>
      <c r="BA132">
        <f>IF(Source!BI76=2,J122,0)</f>
        <v>0</v>
      </c>
    </row>
    <row r="133" spans="1:56" ht="159">
      <c r="A133" s="74">
        <v>6</v>
      </c>
      <c r="B133" s="74" t="s">
        <v>438</v>
      </c>
      <c r="C133" s="74" t="s">
        <v>439</v>
      </c>
      <c r="D133" s="55" t="str">
        <f>Source!DW80</f>
        <v>100 м2</v>
      </c>
      <c r="E133" s="56">
        <f>Source!K80</f>
        <v>2.34</v>
      </c>
      <c r="F133" s="56"/>
      <c r="G133" s="56">
        <f>Source!I80</f>
        <v>2.34</v>
      </c>
      <c r="H133" s="57"/>
      <c r="I133" s="58"/>
      <c r="J133" s="57"/>
      <c r="K133" s="58"/>
      <c r="L133" s="57"/>
      <c r="AG133">
        <f>ROUND((Source!AT80/100)*((ROUND(Source!AF80*Source!I80,2)+ROUND(Source!AE80*Source!I80,2))),2)</f>
        <v>65.93</v>
      </c>
      <c r="AH133">
        <f>Source!X80</f>
        <v>2461.75</v>
      </c>
      <c r="AI133">
        <f>ROUND((Source!AU80/100)*((ROUND(Source!AF80*Source!I80,2)+ROUND(Source!AE80*Source!I80,2))),2)</f>
        <v>32.56</v>
      </c>
      <c r="AJ133">
        <f>Source!Y80</f>
        <v>1215.82</v>
      </c>
      <c r="AS133">
        <f>IF(Source!BI80&lt;=1,AH133,0)</f>
        <v>2461.75</v>
      </c>
      <c r="AT133">
        <f>IF(Source!BI80&lt;=1,AJ133,0)</f>
        <v>1215.82</v>
      </c>
      <c r="BC133">
        <f>IF(Source!BI80=2,AH133,0)</f>
        <v>0</v>
      </c>
      <c r="BD133">
        <f>IF(Source!BI80=2,AJ133,0)</f>
        <v>0</v>
      </c>
    </row>
    <row r="134" ht="38.25">
      <c r="B134" s="48" t="str">
        <f>Source!EO80</f>
        <v>Поправка: М-ка 421/пр 04.08.20 п.58 п.п. б)</v>
      </c>
    </row>
    <row r="135" ht="12.75">
      <c r="C135" s="45" t="str">
        <f>"Объем: "&amp;Source!K80&amp;"=234/"&amp;"100"</f>
        <v>Объем: 2,34=234/100</v>
      </c>
    </row>
    <row r="136" spans="1:12" ht="14.25">
      <c r="A136" s="74"/>
      <c r="B136" s="75">
        <v>1</v>
      </c>
      <c r="C136" s="74" t="s">
        <v>394</v>
      </c>
      <c r="D136" s="55"/>
      <c r="E136" s="56"/>
      <c r="F136" s="56"/>
      <c r="G136" s="56"/>
      <c r="H136" s="57">
        <f>Source!AO80</f>
        <v>24.47</v>
      </c>
      <c r="I136" s="58">
        <f>ROUND(1.15,7)</f>
        <v>1.15</v>
      </c>
      <c r="J136" s="57">
        <f>ROUND(Source!AF80*Source!I80,2)</f>
        <v>65.85</v>
      </c>
      <c r="K136" s="58">
        <f>IF(Source!BA80&lt;&gt;0,Source!BA80,1)</f>
        <v>37.34</v>
      </c>
      <c r="L136" s="57">
        <f>Source!S80</f>
        <v>2458.75</v>
      </c>
    </row>
    <row r="137" spans="1:12" ht="14.25">
      <c r="A137" s="74"/>
      <c r="B137" s="75">
        <v>3</v>
      </c>
      <c r="C137" s="74" t="s">
        <v>395</v>
      </c>
      <c r="D137" s="55"/>
      <c r="E137" s="56"/>
      <c r="F137" s="56"/>
      <c r="G137" s="56"/>
      <c r="H137" s="57">
        <f>Source!AM80</f>
        <v>2.63</v>
      </c>
      <c r="I137" s="58">
        <f>ROUND(1.25,7)</f>
        <v>1.25</v>
      </c>
      <c r="J137" s="57">
        <f>ROUND(((((Source!ET80*ROUND(1.25,7)))-((Source!EU80*ROUND(1.25,7))))+Source!AE80)*Source!I80,2)</f>
        <v>7.7</v>
      </c>
      <c r="K137" s="58">
        <f>IF(Source!BB80&lt;&gt;0,Source!BB80,1)</f>
        <v>13.24</v>
      </c>
      <c r="L137" s="57">
        <f>Source!Q80</f>
        <v>102.29</v>
      </c>
    </row>
    <row r="138" spans="1:12" ht="14.25">
      <c r="A138" s="74"/>
      <c r="B138" s="75">
        <v>2</v>
      </c>
      <c r="C138" s="74" t="s">
        <v>406</v>
      </c>
      <c r="D138" s="55"/>
      <c r="E138" s="56"/>
      <c r="F138" s="56"/>
      <c r="G138" s="56"/>
      <c r="H138" s="57">
        <f>Source!AN80</f>
        <v>0.46</v>
      </c>
      <c r="I138" s="58">
        <f>ROUND(1.25,7)</f>
        <v>1.25</v>
      </c>
      <c r="J138" s="63">
        <f>ROUND(Source!AE80*Source!I80,2)</f>
        <v>1.36</v>
      </c>
      <c r="K138" s="58">
        <f>IF(Source!BS80&lt;&gt;0,Source!BS80,1)</f>
        <v>37.34</v>
      </c>
      <c r="L138" s="63">
        <f>Source!R80</f>
        <v>50.68</v>
      </c>
    </row>
    <row r="139" spans="1:12" ht="14.25">
      <c r="A139" s="74"/>
      <c r="B139" s="75">
        <v>4</v>
      </c>
      <c r="C139" s="74" t="s">
        <v>430</v>
      </c>
      <c r="D139" s="55"/>
      <c r="E139" s="56"/>
      <c r="F139" s="56"/>
      <c r="G139" s="56"/>
      <c r="H139" s="57">
        <f>Source!AL80</f>
        <v>90</v>
      </c>
      <c r="I139" s="58"/>
      <c r="J139" s="57">
        <f>ROUND(Source!AC80*Source!I80,2)</f>
        <v>210.6</v>
      </c>
      <c r="K139" s="58">
        <f>IF(Source!BC80&lt;&gt;0,Source!BC80,1)</f>
        <v>6.72</v>
      </c>
      <c r="L139" s="57">
        <f>Source!P80</f>
        <v>1415.23</v>
      </c>
    </row>
    <row r="140" spans="1:12" ht="14.25">
      <c r="A140" s="74"/>
      <c r="B140" s="74"/>
      <c r="C140" s="74" t="s">
        <v>396</v>
      </c>
      <c r="D140" s="55" t="s">
        <v>397</v>
      </c>
      <c r="E140" s="56">
        <f>Source!AQ80</f>
        <v>2.8</v>
      </c>
      <c r="F140" s="56">
        <f>ROUND(1.15,7)</f>
        <v>1.15</v>
      </c>
      <c r="G140" s="111">
        <f>ROUND(Source!U80,7)</f>
        <v>7.5348</v>
      </c>
      <c r="H140" s="57"/>
      <c r="I140" s="58"/>
      <c r="J140" s="57"/>
      <c r="K140" s="58"/>
      <c r="L140" s="57"/>
    </row>
    <row r="141" spans="1:12" ht="14.25">
      <c r="A141" s="74"/>
      <c r="B141" s="74"/>
      <c r="C141" s="76" t="s">
        <v>407</v>
      </c>
      <c r="D141" s="59" t="s">
        <v>397</v>
      </c>
      <c r="E141" s="60">
        <f>Source!AR80</f>
        <v>0.04</v>
      </c>
      <c r="F141" s="60">
        <f>ROUND(1.25,7)</f>
        <v>1.25</v>
      </c>
      <c r="G141" s="110">
        <f>ROUND(Source!V80,7)</f>
        <v>0.117</v>
      </c>
      <c r="H141" s="61"/>
      <c r="I141" s="62"/>
      <c r="J141" s="61"/>
      <c r="K141" s="62"/>
      <c r="L141" s="61"/>
    </row>
    <row r="142" spans="1:12" ht="14.25">
      <c r="A142" s="74"/>
      <c r="B142" s="74"/>
      <c r="C142" s="74" t="s">
        <v>398</v>
      </c>
      <c r="D142" s="55"/>
      <c r="E142" s="56"/>
      <c r="F142" s="56"/>
      <c r="G142" s="56"/>
      <c r="H142" s="57">
        <f>H136+H137+H139</f>
        <v>117.1</v>
      </c>
      <c r="I142" s="58"/>
      <c r="J142" s="57">
        <f>J136+J137+J139</f>
        <v>284.15</v>
      </c>
      <c r="K142" s="58"/>
      <c r="L142" s="57">
        <f>L136+L137+L139</f>
        <v>3976.27</v>
      </c>
    </row>
    <row r="143" spans="1:12" ht="14.25">
      <c r="A143" s="74"/>
      <c r="B143" s="74"/>
      <c r="C143" s="74" t="s">
        <v>399</v>
      </c>
      <c r="D143" s="55"/>
      <c r="E143" s="56"/>
      <c r="F143" s="56"/>
      <c r="G143" s="56"/>
      <c r="H143" s="57"/>
      <c r="I143" s="58"/>
      <c r="J143" s="57">
        <f>SUM(Q133:Q146)+SUM(V133:V146)+SUM(X133:X146)+SUM(Y133:Y146)</f>
        <v>67.21</v>
      </c>
      <c r="K143" s="58"/>
      <c r="L143" s="57">
        <f>SUM(U133:U146)+SUM(W133:W146)+SUM(Z133:Z146)+SUM(AA133:AA146)</f>
        <v>2509.43</v>
      </c>
    </row>
    <row r="144" spans="1:12" ht="28.5">
      <c r="A144" s="74"/>
      <c r="B144" s="74" t="s">
        <v>432</v>
      </c>
      <c r="C144" s="74" t="s">
        <v>433</v>
      </c>
      <c r="D144" s="55" t="s">
        <v>401</v>
      </c>
      <c r="E144" s="56">
        <f>Source!BZ80</f>
        <v>109</v>
      </c>
      <c r="F144" s="56">
        <f>ROUND(0.9,7)</f>
        <v>0.9</v>
      </c>
      <c r="G144" s="56">
        <f>Source!AT80</f>
        <v>98.1</v>
      </c>
      <c r="H144" s="57"/>
      <c r="I144" s="58"/>
      <c r="J144" s="57">
        <f>SUM(AG133:AG146)</f>
        <v>65.93</v>
      </c>
      <c r="K144" s="58"/>
      <c r="L144" s="57">
        <f>SUM(AH133:AH146)</f>
        <v>2461.75</v>
      </c>
    </row>
    <row r="145" spans="1:12" ht="28.5">
      <c r="A145" s="76"/>
      <c r="B145" s="76" t="s">
        <v>434</v>
      </c>
      <c r="C145" s="76" t="s">
        <v>435</v>
      </c>
      <c r="D145" s="59" t="s">
        <v>401</v>
      </c>
      <c r="E145" s="60">
        <f>Source!CA80</f>
        <v>57</v>
      </c>
      <c r="F145" s="60">
        <f>ROUND(0.85,7)</f>
        <v>0.85</v>
      </c>
      <c r="G145" s="60">
        <f>Source!AU80</f>
        <v>48.45</v>
      </c>
      <c r="H145" s="61"/>
      <c r="I145" s="62"/>
      <c r="J145" s="61">
        <f>SUM(AI133:AI146)</f>
        <v>32.56</v>
      </c>
      <c r="K145" s="62"/>
      <c r="L145" s="61">
        <f>SUM(AJ133:AJ146)</f>
        <v>1215.82</v>
      </c>
    </row>
    <row r="146" spans="3:53" ht="15">
      <c r="C146" s="144" t="s">
        <v>403</v>
      </c>
      <c r="D146" s="144"/>
      <c r="E146" s="144"/>
      <c r="F146" s="144"/>
      <c r="G146" s="144"/>
      <c r="H146" s="144"/>
      <c r="I146" s="144">
        <f>J136+J137+J139+J144+J145</f>
        <v>382.64</v>
      </c>
      <c r="J146" s="144"/>
      <c r="K146" s="144">
        <f>L136+L137+L139+L144+L145</f>
        <v>7653.84</v>
      </c>
      <c r="L146" s="144"/>
      <c r="O146" s="47">
        <f>I146</f>
        <v>382.64</v>
      </c>
      <c r="P146" s="47">
        <f>K146</f>
        <v>7653.84</v>
      </c>
      <c r="Q146" s="47">
        <f>J136</f>
        <v>65.85</v>
      </c>
      <c r="R146" s="47">
        <f>J136</f>
        <v>65.85</v>
      </c>
      <c r="U146" s="47">
        <f>L136</f>
        <v>2458.75</v>
      </c>
      <c r="X146" s="47">
        <f>J138</f>
        <v>1.36</v>
      </c>
      <c r="Z146" s="47">
        <f>L138</f>
        <v>50.68</v>
      </c>
      <c r="AB146" s="47">
        <f>J137</f>
        <v>7.7</v>
      </c>
      <c r="AD146" s="47">
        <f>L137</f>
        <v>102.29</v>
      </c>
      <c r="AF146" s="47">
        <f>J139</f>
        <v>210.6</v>
      </c>
      <c r="AN146">
        <f>IF(Source!BI80&lt;=1,J136+J137+J139+J144+J145,0)</f>
        <v>382.64</v>
      </c>
      <c r="AO146">
        <f>IF(Source!BI80&lt;=1,J139,0)</f>
        <v>210.6</v>
      </c>
      <c r="AP146">
        <f>IF(Source!BI80&lt;=1,J137,0)</f>
        <v>7.7</v>
      </c>
      <c r="AQ146">
        <f>IF(Source!BI80&lt;=1,J136,0)</f>
        <v>65.85</v>
      </c>
      <c r="AX146">
        <f>IF(Source!BI80=2,J136+J137+J139+J144+J145,0)</f>
        <v>0</v>
      </c>
      <c r="AY146">
        <f>IF(Source!BI80=2,J139,0)</f>
        <v>0</v>
      </c>
      <c r="AZ146">
        <f>IF(Source!BI80=2,J137,0)</f>
        <v>0</v>
      </c>
      <c r="BA146">
        <f>IF(Source!BI80=2,J136,0)</f>
        <v>0</v>
      </c>
    </row>
    <row r="147" spans="1:56" ht="144.75">
      <c r="A147" s="74">
        <v>7</v>
      </c>
      <c r="B147" s="74" t="s">
        <v>440</v>
      </c>
      <c r="C147" s="74" t="s">
        <v>441</v>
      </c>
      <c r="D147" s="55" t="str">
        <f>Source!DW82</f>
        <v>100 м2</v>
      </c>
      <c r="E147" s="56">
        <f>Source!K82</f>
        <v>0.03</v>
      </c>
      <c r="F147" s="56"/>
      <c r="G147" s="56">
        <f>Source!I82</f>
        <v>0.03</v>
      </c>
      <c r="H147" s="57"/>
      <c r="I147" s="58"/>
      <c r="J147" s="57"/>
      <c r="K147" s="58"/>
      <c r="L147" s="57"/>
      <c r="AG147">
        <f>ROUND((Source!AT82/100)*((ROUND(Source!AF82*Source!I82,2)+ROUND(Source!AE82*Source!I82,2))),2)</f>
        <v>28.18</v>
      </c>
      <c r="AH147">
        <f>Source!X82</f>
        <v>1052.63</v>
      </c>
      <c r="AI147">
        <f>ROUND((Source!AU82/100)*((ROUND(Source!AF82*Source!I82,2)+ROUND(Source!AE82*Source!I82,2))),2)</f>
        <v>13.92</v>
      </c>
      <c r="AJ147">
        <f>Source!Y82</f>
        <v>519.88</v>
      </c>
      <c r="AS147">
        <f>IF(Source!BI82&lt;=1,AH147,0)</f>
        <v>1052.63</v>
      </c>
      <c r="AT147">
        <f>IF(Source!BI82&lt;=1,AJ147,0)</f>
        <v>519.88</v>
      </c>
      <c r="BC147">
        <f>IF(Source!BI82=2,AH147,0)</f>
        <v>0</v>
      </c>
      <c r="BD147">
        <f>IF(Source!BI82=2,AJ147,0)</f>
        <v>0</v>
      </c>
    </row>
    <row r="148" ht="38.25">
      <c r="B148" s="48" t="str">
        <f>Source!EO82</f>
        <v>Поправка: М-ка 421/пр 04.08.20 п.58 п.п. б)</v>
      </c>
    </row>
    <row r="149" ht="12.75">
      <c r="C149" s="45" t="str">
        <f>"Объем: "&amp;Source!K82&amp;"=3/"&amp;"100"</f>
        <v>Объем: 0,03=3/100</v>
      </c>
    </row>
    <row r="150" spans="1:12" ht="14.25">
      <c r="A150" s="74"/>
      <c r="B150" s="75">
        <v>1</v>
      </c>
      <c r="C150" s="74" t="s">
        <v>394</v>
      </c>
      <c r="D150" s="55"/>
      <c r="E150" s="56"/>
      <c r="F150" s="56"/>
      <c r="G150" s="56"/>
      <c r="H150" s="57">
        <f>Source!AO82</f>
        <v>829.12</v>
      </c>
      <c r="I150" s="58">
        <f>ROUND(1.15,7)</f>
        <v>1.15</v>
      </c>
      <c r="J150" s="57">
        <f>ROUND(Source!AF82*Source!I82,2)</f>
        <v>28.6</v>
      </c>
      <c r="K150" s="58">
        <f>IF(Source!BA82&lt;&gt;0,Source!BA82,1)</f>
        <v>37.34</v>
      </c>
      <c r="L150" s="57">
        <f>Source!S82</f>
        <v>1068.1</v>
      </c>
    </row>
    <row r="151" spans="1:12" ht="14.25">
      <c r="A151" s="74"/>
      <c r="B151" s="75">
        <v>3</v>
      </c>
      <c r="C151" s="74" t="s">
        <v>395</v>
      </c>
      <c r="D151" s="55"/>
      <c r="E151" s="56"/>
      <c r="F151" s="56"/>
      <c r="G151" s="56"/>
      <c r="H151" s="57">
        <f>Source!AM82</f>
        <v>21.88</v>
      </c>
      <c r="I151" s="58">
        <f>ROUND(1.25,7)</f>
        <v>1.25</v>
      </c>
      <c r="J151" s="57">
        <f>ROUND(((((Source!ET82*ROUND(1.25,7)))-((Source!EU82*ROUND(1.25,7))))+Source!AE82)*Source!I82,2)</f>
        <v>0.82</v>
      </c>
      <c r="K151" s="58">
        <f>IF(Source!BB82&lt;&gt;0,Source!BB82,1)</f>
        <v>13.24</v>
      </c>
      <c r="L151" s="57">
        <f>Source!Q82</f>
        <v>10.87</v>
      </c>
    </row>
    <row r="152" spans="1:12" ht="14.25">
      <c r="A152" s="74"/>
      <c r="B152" s="75">
        <v>2</v>
      </c>
      <c r="C152" s="74" t="s">
        <v>406</v>
      </c>
      <c r="D152" s="55"/>
      <c r="E152" s="56"/>
      <c r="F152" s="56"/>
      <c r="G152" s="56"/>
      <c r="H152" s="57">
        <f>Source!AN82</f>
        <v>3.51</v>
      </c>
      <c r="I152" s="58">
        <f>ROUND(1.25,7)</f>
        <v>1.25</v>
      </c>
      <c r="J152" s="63">
        <f>ROUND(Source!AE82*Source!I82,2)</f>
        <v>0.13</v>
      </c>
      <c r="K152" s="58">
        <f>IF(Source!BS82&lt;&gt;0,Source!BS82,1)</f>
        <v>37.34</v>
      </c>
      <c r="L152" s="63">
        <f>Source!R82</f>
        <v>4.92</v>
      </c>
    </row>
    <row r="153" spans="1:12" ht="14.25">
      <c r="A153" s="74"/>
      <c r="B153" s="75">
        <v>4</v>
      </c>
      <c r="C153" s="74" t="s">
        <v>430</v>
      </c>
      <c r="D153" s="55"/>
      <c r="E153" s="56"/>
      <c r="F153" s="56"/>
      <c r="G153" s="56"/>
      <c r="H153" s="57">
        <f>Source!AL82</f>
        <v>6516.18</v>
      </c>
      <c r="I153" s="58"/>
      <c r="J153" s="57">
        <f>ROUND(Source!AC82*Source!I82,2)</f>
        <v>195.49</v>
      </c>
      <c r="K153" s="58">
        <f>IF(Source!BC82&lt;&gt;0,Source!BC82,1)</f>
        <v>6.72</v>
      </c>
      <c r="L153" s="57">
        <f>Source!P82</f>
        <v>1313.66</v>
      </c>
    </row>
    <row r="154" spans="1:12" ht="14.25">
      <c r="A154" s="74"/>
      <c r="B154" s="74"/>
      <c r="C154" s="74" t="s">
        <v>396</v>
      </c>
      <c r="D154" s="55" t="s">
        <v>397</v>
      </c>
      <c r="E154" s="56">
        <f>Source!AQ82</f>
        <v>97.2</v>
      </c>
      <c r="F154" s="56">
        <f>ROUND(1.15,7)</f>
        <v>1.15</v>
      </c>
      <c r="G154" s="111">
        <f>ROUND(Source!U82,7)</f>
        <v>3.3534</v>
      </c>
      <c r="H154" s="57"/>
      <c r="I154" s="58"/>
      <c r="J154" s="57"/>
      <c r="K154" s="58"/>
      <c r="L154" s="57"/>
    </row>
    <row r="155" spans="1:12" ht="14.25">
      <c r="A155" s="74"/>
      <c r="B155" s="74"/>
      <c r="C155" s="76" t="s">
        <v>407</v>
      </c>
      <c r="D155" s="59" t="s">
        <v>397</v>
      </c>
      <c r="E155" s="60">
        <f>Source!AR82</f>
        <v>0.27</v>
      </c>
      <c r="F155" s="60">
        <f>ROUND(1.25,7)</f>
        <v>1.25</v>
      </c>
      <c r="G155" s="110">
        <f>ROUND(Source!V82,7)</f>
        <v>0.010125</v>
      </c>
      <c r="H155" s="61"/>
      <c r="I155" s="62"/>
      <c r="J155" s="61"/>
      <c r="K155" s="62"/>
      <c r="L155" s="61"/>
    </row>
    <row r="156" spans="1:12" ht="14.25">
      <c r="A156" s="74"/>
      <c r="B156" s="74"/>
      <c r="C156" s="74" t="s">
        <v>398</v>
      </c>
      <c r="D156" s="55"/>
      <c r="E156" s="56"/>
      <c r="F156" s="56"/>
      <c r="G156" s="56"/>
      <c r="H156" s="57">
        <f>H150+H151+H153</f>
        <v>7367.18</v>
      </c>
      <c r="I156" s="58"/>
      <c r="J156" s="57">
        <f>J150+J151+J153</f>
        <v>224.91000000000003</v>
      </c>
      <c r="K156" s="58"/>
      <c r="L156" s="57">
        <f>L150+L151+L153</f>
        <v>2392.63</v>
      </c>
    </row>
    <row r="157" spans="1:12" ht="14.25">
      <c r="A157" s="74"/>
      <c r="B157" s="74"/>
      <c r="C157" s="74" t="s">
        <v>399</v>
      </c>
      <c r="D157" s="55"/>
      <c r="E157" s="56"/>
      <c r="F157" s="56"/>
      <c r="G157" s="56"/>
      <c r="H157" s="57"/>
      <c r="I157" s="58"/>
      <c r="J157" s="57">
        <f>SUM(Q147:Q160)+SUM(V147:V160)+SUM(X147:X160)+SUM(Y147:Y160)</f>
        <v>28.73</v>
      </c>
      <c r="K157" s="58"/>
      <c r="L157" s="57">
        <f>SUM(U147:U160)+SUM(W147:W160)+SUM(Z147:Z160)+SUM(AA147:AA160)</f>
        <v>1073.02</v>
      </c>
    </row>
    <row r="158" spans="1:12" ht="28.5">
      <c r="A158" s="74"/>
      <c r="B158" s="74" t="s">
        <v>432</v>
      </c>
      <c r="C158" s="74" t="s">
        <v>433</v>
      </c>
      <c r="D158" s="55" t="s">
        <v>401</v>
      </c>
      <c r="E158" s="56">
        <f>Source!BZ82</f>
        <v>109</v>
      </c>
      <c r="F158" s="56">
        <f>ROUND(0.9,7)</f>
        <v>0.9</v>
      </c>
      <c r="G158" s="56">
        <f>Source!AT82</f>
        <v>98.1</v>
      </c>
      <c r="H158" s="57"/>
      <c r="I158" s="58"/>
      <c r="J158" s="57">
        <f>SUM(AG147:AG160)</f>
        <v>28.18</v>
      </c>
      <c r="K158" s="58"/>
      <c r="L158" s="57">
        <f>SUM(AH147:AH160)</f>
        <v>1052.63</v>
      </c>
    </row>
    <row r="159" spans="1:12" ht="28.5">
      <c r="A159" s="76"/>
      <c r="B159" s="76" t="s">
        <v>434</v>
      </c>
      <c r="C159" s="76" t="s">
        <v>435</v>
      </c>
      <c r="D159" s="59" t="s">
        <v>401</v>
      </c>
      <c r="E159" s="60">
        <f>Source!CA82</f>
        <v>57</v>
      </c>
      <c r="F159" s="60">
        <f>ROUND(0.85,7)</f>
        <v>0.85</v>
      </c>
      <c r="G159" s="60">
        <f>Source!AU82</f>
        <v>48.45</v>
      </c>
      <c r="H159" s="61"/>
      <c r="I159" s="62"/>
      <c r="J159" s="61">
        <f>SUM(AI147:AI160)</f>
        <v>13.92</v>
      </c>
      <c r="K159" s="62"/>
      <c r="L159" s="61">
        <f>SUM(AJ147:AJ160)</f>
        <v>519.88</v>
      </c>
    </row>
    <row r="160" spans="3:53" ht="15">
      <c r="C160" s="144" t="s">
        <v>403</v>
      </c>
      <c r="D160" s="144"/>
      <c r="E160" s="144"/>
      <c r="F160" s="144"/>
      <c r="G160" s="144"/>
      <c r="H160" s="144"/>
      <c r="I160" s="144">
        <f>J150+J151+J153+J158+J159</f>
        <v>267.01000000000005</v>
      </c>
      <c r="J160" s="144"/>
      <c r="K160" s="144">
        <f>L150+L151+L153+L158+L159</f>
        <v>3965.1400000000003</v>
      </c>
      <c r="L160" s="144"/>
      <c r="O160" s="47">
        <f>I160</f>
        <v>267.01000000000005</v>
      </c>
      <c r="P160" s="47">
        <f>K160</f>
        <v>3965.1400000000003</v>
      </c>
      <c r="Q160" s="47">
        <f>J150</f>
        <v>28.6</v>
      </c>
      <c r="R160" s="47">
        <f>J150</f>
        <v>28.6</v>
      </c>
      <c r="U160" s="47">
        <f>L150</f>
        <v>1068.1</v>
      </c>
      <c r="X160" s="47">
        <f>J152</f>
        <v>0.13</v>
      </c>
      <c r="Z160" s="47">
        <f>L152</f>
        <v>4.92</v>
      </c>
      <c r="AB160" s="47">
        <f>J151</f>
        <v>0.82</v>
      </c>
      <c r="AD160" s="47">
        <f>L151</f>
        <v>10.87</v>
      </c>
      <c r="AF160" s="47">
        <f>J153</f>
        <v>195.49</v>
      </c>
      <c r="AN160">
        <f>IF(Source!BI82&lt;=1,J150+J151+J153+J158+J159,0)</f>
        <v>267.01000000000005</v>
      </c>
      <c r="AO160">
        <f>IF(Source!BI82&lt;=1,J153,0)</f>
        <v>195.49</v>
      </c>
      <c r="AP160">
        <f>IF(Source!BI82&lt;=1,J151,0)</f>
        <v>0.82</v>
      </c>
      <c r="AQ160">
        <f>IF(Source!BI82&lt;=1,J150,0)</f>
        <v>28.6</v>
      </c>
      <c r="AX160">
        <f>IF(Source!BI82=2,J150+J151+J153+J158+J159,0)</f>
        <v>0</v>
      </c>
      <c r="AY160">
        <f>IF(Source!BI82=2,J153,0)</f>
        <v>0</v>
      </c>
      <c r="AZ160">
        <f>IF(Source!BI82=2,J151,0)</f>
        <v>0</v>
      </c>
      <c r="BA160">
        <f>IF(Source!BI82=2,J150,0)</f>
        <v>0</v>
      </c>
    </row>
    <row r="161" spans="1:56" ht="130.5">
      <c r="A161" s="74">
        <v>8</v>
      </c>
      <c r="B161" s="74" t="s">
        <v>442</v>
      </c>
      <c r="C161" s="74" t="s">
        <v>443</v>
      </c>
      <c r="D161" s="55" t="str">
        <f>Source!DW84</f>
        <v>100 м2</v>
      </c>
      <c r="E161" s="56">
        <f>Source!K84</f>
        <v>2.34</v>
      </c>
      <c r="F161" s="56"/>
      <c r="G161" s="56">
        <f>Source!I84</f>
        <v>2.34</v>
      </c>
      <c r="H161" s="57"/>
      <c r="I161" s="58"/>
      <c r="J161" s="57"/>
      <c r="K161" s="58"/>
      <c r="L161" s="57"/>
      <c r="AG161">
        <f>ROUND((Source!AT84/100)*((ROUND(Source!AF84*Source!I84,2)+ROUND(Source!AE84*Source!I84,2))),2)</f>
        <v>367.1</v>
      </c>
      <c r="AH161">
        <f>Source!X84</f>
        <v>13707.61</v>
      </c>
      <c r="AI161">
        <f>ROUND((Source!AU84/100)*((ROUND(Source!AF84*Source!I84,2)+ROUND(Source!AE84*Source!I84,2))),2)</f>
        <v>181.3</v>
      </c>
      <c r="AJ161">
        <f>Source!Y84</f>
        <v>6769.97</v>
      </c>
      <c r="AS161">
        <f>IF(Source!BI84&lt;=1,AH161,0)</f>
        <v>13707.61</v>
      </c>
      <c r="AT161">
        <f>IF(Source!BI84&lt;=1,AJ161,0)</f>
        <v>6769.97</v>
      </c>
      <c r="BC161">
        <f>IF(Source!BI84=2,AH161,0)</f>
        <v>0</v>
      </c>
      <c r="BD161">
        <f>IF(Source!BI84=2,AJ161,0)</f>
        <v>0</v>
      </c>
    </row>
    <row r="162" ht="38.25">
      <c r="B162" s="48" t="str">
        <f>Source!EO84</f>
        <v>Поправка: М-ка 421/пр 04.08.20 п.58 п.п. б)</v>
      </c>
    </row>
    <row r="163" ht="12.75">
      <c r="C163" s="45" t="str">
        <f>"Объем: "&amp;Source!K84&amp;"=234/"&amp;"100"</f>
        <v>Объем: 2,34=234/100</v>
      </c>
    </row>
    <row r="164" spans="1:12" ht="14.25">
      <c r="A164" s="74"/>
      <c r="B164" s="75">
        <v>1</v>
      </c>
      <c r="C164" s="74" t="s">
        <v>394</v>
      </c>
      <c r="D164" s="55"/>
      <c r="E164" s="56"/>
      <c r="F164" s="56"/>
      <c r="G164" s="56"/>
      <c r="H164" s="57">
        <f>Source!AO84</f>
        <v>134.98</v>
      </c>
      <c r="I164" s="58">
        <f>ROUND(1.15,7)</f>
        <v>1.15</v>
      </c>
      <c r="J164" s="57">
        <f>ROUND(Source!AF84*Source!I84,2)</f>
        <v>363.24</v>
      </c>
      <c r="K164" s="58">
        <f>IF(Source!BA84&lt;&gt;0,Source!BA84,1)</f>
        <v>37.34</v>
      </c>
      <c r="L164" s="57">
        <f>Source!S84</f>
        <v>13563.31</v>
      </c>
    </row>
    <row r="165" spans="1:12" ht="14.25">
      <c r="A165" s="74"/>
      <c r="B165" s="75">
        <v>3</v>
      </c>
      <c r="C165" s="74" t="s">
        <v>395</v>
      </c>
      <c r="D165" s="55"/>
      <c r="E165" s="56"/>
      <c r="F165" s="56"/>
      <c r="G165" s="56"/>
      <c r="H165" s="57">
        <f>Source!AM84</f>
        <v>24.64</v>
      </c>
      <c r="I165" s="58">
        <f>ROUND(1.25,7)</f>
        <v>1.25</v>
      </c>
      <c r="J165" s="57">
        <f>ROUND(((((Source!ET84*ROUND(1.25,7)))-((Source!EU84*ROUND(1.25,7))))+Source!AE84)*Source!I84,2)</f>
        <v>72.08</v>
      </c>
      <c r="K165" s="58">
        <f>IF(Source!BB84&lt;&gt;0,Source!BB84,1)</f>
        <v>13.24</v>
      </c>
      <c r="L165" s="57">
        <f>Source!Q84</f>
        <v>954.45</v>
      </c>
    </row>
    <row r="166" spans="1:12" ht="14.25">
      <c r="A166" s="74"/>
      <c r="B166" s="75">
        <v>2</v>
      </c>
      <c r="C166" s="74" t="s">
        <v>406</v>
      </c>
      <c r="D166" s="55"/>
      <c r="E166" s="56"/>
      <c r="F166" s="56"/>
      <c r="G166" s="56"/>
      <c r="H166" s="57">
        <f>Source!AN84</f>
        <v>3.75</v>
      </c>
      <c r="I166" s="58">
        <f>ROUND(1.25,7)</f>
        <v>1.25</v>
      </c>
      <c r="J166" s="63">
        <f>ROUND(Source!AE84*Source!I84,2)</f>
        <v>10.97</v>
      </c>
      <c r="K166" s="58">
        <f>IF(Source!BS84&lt;&gt;0,Source!BS84,1)</f>
        <v>37.34</v>
      </c>
      <c r="L166" s="63">
        <f>Source!R84</f>
        <v>409.79</v>
      </c>
    </row>
    <row r="167" spans="1:12" ht="14.25">
      <c r="A167" s="74"/>
      <c r="B167" s="75">
        <v>4</v>
      </c>
      <c r="C167" s="74" t="s">
        <v>430</v>
      </c>
      <c r="D167" s="55"/>
      <c r="E167" s="56"/>
      <c r="F167" s="56"/>
      <c r="G167" s="56"/>
      <c r="H167" s="57">
        <f>Source!AL84</f>
        <v>182.33</v>
      </c>
      <c r="I167" s="58"/>
      <c r="J167" s="57">
        <f>ROUND(Source!AC84*Source!I84,2)</f>
        <v>426.65</v>
      </c>
      <c r="K167" s="58">
        <f>IF(Source!BC84&lt;&gt;0,Source!BC84,1)</f>
        <v>6.72</v>
      </c>
      <c r="L167" s="57">
        <f>Source!P84</f>
        <v>2867.1</v>
      </c>
    </row>
    <row r="168" spans="1:12" ht="14.25">
      <c r="A168" s="74"/>
      <c r="B168" s="74"/>
      <c r="C168" s="74" t="s">
        <v>396</v>
      </c>
      <c r="D168" s="55" t="s">
        <v>397</v>
      </c>
      <c r="E168" s="56">
        <f>Source!AQ84</f>
        <v>14.36</v>
      </c>
      <c r="F168" s="56">
        <f>ROUND(1.15,7)</f>
        <v>1.15</v>
      </c>
      <c r="G168" s="111">
        <f>ROUND(Source!U84,7)</f>
        <v>38.64276</v>
      </c>
      <c r="H168" s="57"/>
      <c r="I168" s="58"/>
      <c r="J168" s="57"/>
      <c r="K168" s="58"/>
      <c r="L168" s="57"/>
    </row>
    <row r="169" spans="1:12" ht="14.25">
      <c r="A169" s="74"/>
      <c r="B169" s="74"/>
      <c r="C169" s="76" t="s">
        <v>407</v>
      </c>
      <c r="D169" s="59" t="s">
        <v>397</v>
      </c>
      <c r="E169" s="60">
        <f>Source!AR84</f>
        <v>0.29</v>
      </c>
      <c r="F169" s="60">
        <f>ROUND(1.25,7)</f>
        <v>1.25</v>
      </c>
      <c r="G169" s="110">
        <f>ROUND(Source!V84,7)</f>
        <v>0.84825</v>
      </c>
      <c r="H169" s="61"/>
      <c r="I169" s="62"/>
      <c r="J169" s="61"/>
      <c r="K169" s="62"/>
      <c r="L169" s="61"/>
    </row>
    <row r="170" spans="1:12" ht="14.25">
      <c r="A170" s="74"/>
      <c r="B170" s="74"/>
      <c r="C170" s="74" t="s">
        <v>398</v>
      </c>
      <c r="D170" s="55"/>
      <c r="E170" s="56"/>
      <c r="F170" s="56"/>
      <c r="G170" s="56"/>
      <c r="H170" s="57">
        <f>H164+H165+H167</f>
        <v>341.95000000000005</v>
      </c>
      <c r="I170" s="58"/>
      <c r="J170" s="57">
        <f>J164+J165+J167</f>
        <v>861.97</v>
      </c>
      <c r="K170" s="58"/>
      <c r="L170" s="57">
        <f>L164+L165+L167</f>
        <v>17384.86</v>
      </c>
    </row>
    <row r="171" spans="1:56" ht="114">
      <c r="A171" s="74" t="s">
        <v>151</v>
      </c>
      <c r="B171" s="74" t="s">
        <v>444</v>
      </c>
      <c r="C171" s="74" t="str">
        <f>Source!G86</f>
        <v>Материал рулонный битумно-полимерный кровельный и гидроизоляционный ТПП/ЭПП/ХПП, для нижнего слоя кровли, основа-стеклоткань/полиэстер/стеклохолст, гибкость не выше -25 °C, масса 1 м2 от 3,5 до 4,0 кг, прочность 390-590 Н, теплостойкость не менее 100 °C</v>
      </c>
      <c r="D171" s="55" t="str">
        <f>Source!DW86</f>
        <v>м2</v>
      </c>
      <c r="E171" s="56">
        <f>SmtRes!AT86</f>
        <v>116</v>
      </c>
      <c r="F171" s="56"/>
      <c r="G171" s="56">
        <f>Source!I86</f>
        <v>271.44</v>
      </c>
      <c r="H171" s="57">
        <f>Source!AL86+Source!AO86+Source!AM86</f>
        <v>23.06</v>
      </c>
      <c r="I171" s="58"/>
      <c r="J171" s="57">
        <f>ROUND(Source!AC86*Source!I86,2)+ROUND((((Source!ET86)-(Source!EU86))+Source!AE86)*Source!I86,2)+ROUND(Source!AF86*Source!I86,2)</f>
        <v>6259.41</v>
      </c>
      <c r="K171" s="58">
        <f>IF(Source!BC86&lt;&gt;0,Source!BC86,1)</f>
        <v>6.72</v>
      </c>
      <c r="L171" s="57">
        <f>Source!O86</f>
        <v>42063.21</v>
      </c>
      <c r="AF171" s="47">
        <f>J171</f>
        <v>6259.41</v>
      </c>
      <c r="AG171">
        <f>ROUND((Source!AT86/100)*((ROUND(Source!AF86*Source!I86,2)+ROUND(Source!AE86*Source!I86,2))),2)</f>
        <v>0</v>
      </c>
      <c r="AH171">
        <f>Source!X86</f>
        <v>0</v>
      </c>
      <c r="AI171">
        <f>ROUND((Source!AU86/100)*((ROUND(Source!AF86*Source!I86,2)+ROUND(Source!AE86*Source!I86,2))),2)</f>
        <v>0</v>
      </c>
      <c r="AJ171">
        <f>Source!Y86</f>
        <v>0</v>
      </c>
      <c r="AN171">
        <f>IF(Source!BI86&lt;=1,J171,0)</f>
        <v>6259.41</v>
      </c>
      <c r="AO171">
        <f>IF(Source!BI86&lt;=1,J171,0)</f>
        <v>6259.41</v>
      </c>
      <c r="AS171">
        <f>IF(Source!BI86&lt;=1,AH171,0)</f>
        <v>0</v>
      </c>
      <c r="AT171">
        <f>IF(Source!BI86&lt;=1,AJ171,0)</f>
        <v>0</v>
      </c>
      <c r="AX171">
        <f>IF(Source!BI86=2,J171,0)</f>
        <v>0</v>
      </c>
      <c r="AY171">
        <f>IF(Source!BI86=2,J171,0)</f>
        <v>0</v>
      </c>
      <c r="BC171">
        <f>IF(Source!BI86=2,AH171,0)</f>
        <v>0</v>
      </c>
      <c r="BD171">
        <f>IF(Source!BI86=2,AJ171,0)</f>
        <v>0</v>
      </c>
    </row>
    <row r="172" spans="1:56" ht="114">
      <c r="A172" s="74" t="s">
        <v>156</v>
      </c>
      <c r="B172" s="74" t="s">
        <v>445</v>
      </c>
      <c r="C172" s="74" t="str">
        <f>Source!G88</f>
        <v>Материал рулонный битумно-полимерный кровельный и гидроизоляционный ТКП/ЭКП/ХКП, для верхнего слоя кровли, основа-стеклоткань/полиэстер/стеклохолст, гибкость не выше -25 °C, масса 1 м2 4,5 кг, прочность 390-590 Н, теплостойкость не менее 100 °C</v>
      </c>
      <c r="D172" s="55" t="str">
        <f>Source!DW88</f>
        <v>м2</v>
      </c>
      <c r="E172" s="56">
        <f>SmtRes!AT85</f>
        <v>114</v>
      </c>
      <c r="F172" s="56"/>
      <c r="G172" s="56">
        <f>Source!I88</f>
        <v>266.76</v>
      </c>
      <c r="H172" s="57">
        <f>Source!AL88+Source!AO88+Source!AM88</f>
        <v>25.09</v>
      </c>
      <c r="I172" s="58"/>
      <c r="J172" s="57">
        <f>ROUND(Source!AC88*Source!I88,2)+ROUND((((Source!ET88)-(Source!EU88))+Source!AE88)*Source!I88,2)+ROUND(Source!AF88*Source!I88,2)</f>
        <v>6693.01</v>
      </c>
      <c r="K172" s="58">
        <f>IF(Source!BC88&lt;&gt;0,Source!BC88,1)</f>
        <v>6.72</v>
      </c>
      <c r="L172" s="57">
        <f>Source!O88</f>
        <v>44977.02</v>
      </c>
      <c r="AF172" s="47">
        <f>J172</f>
        <v>6693.01</v>
      </c>
      <c r="AG172">
        <f>ROUND((Source!AT88/100)*((ROUND(Source!AF88*Source!I88,2)+ROUND(Source!AE88*Source!I88,2))),2)</f>
        <v>0</v>
      </c>
      <c r="AH172">
        <f>Source!X88</f>
        <v>0</v>
      </c>
      <c r="AI172">
        <f>ROUND((Source!AU88/100)*((ROUND(Source!AF88*Source!I88,2)+ROUND(Source!AE88*Source!I88,2))),2)</f>
        <v>0</v>
      </c>
      <c r="AJ172">
        <f>Source!Y88</f>
        <v>0</v>
      </c>
      <c r="AN172">
        <f>IF(Source!BI88&lt;=1,J172,0)</f>
        <v>6693.01</v>
      </c>
      <c r="AO172">
        <f>IF(Source!BI88&lt;=1,J172,0)</f>
        <v>6693.01</v>
      </c>
      <c r="AS172">
        <f>IF(Source!BI88&lt;=1,AH172,0)</f>
        <v>0</v>
      </c>
      <c r="AT172">
        <f>IF(Source!BI88&lt;=1,AJ172,0)</f>
        <v>0</v>
      </c>
      <c r="AX172">
        <f>IF(Source!BI88=2,J172,0)</f>
        <v>0</v>
      </c>
      <c r="AY172">
        <f>IF(Source!BI88=2,J172,0)</f>
        <v>0</v>
      </c>
      <c r="BC172">
        <f>IF(Source!BI88=2,AH172,0)</f>
        <v>0</v>
      </c>
      <c r="BD172">
        <f>IF(Source!BI88=2,AJ172,0)</f>
        <v>0</v>
      </c>
    </row>
    <row r="173" spans="1:12" ht="14.25">
      <c r="A173" s="74"/>
      <c r="B173" s="74"/>
      <c r="C173" s="74" t="s">
        <v>399</v>
      </c>
      <c r="D173" s="55"/>
      <c r="E173" s="56"/>
      <c r="F173" s="56"/>
      <c r="G173" s="56"/>
      <c r="H173" s="57"/>
      <c r="I173" s="58"/>
      <c r="J173" s="57">
        <f>SUM(Q161:Q176)+SUM(V161:V176)+SUM(X161:X176)+SUM(Y161:Y176)</f>
        <v>374.21000000000004</v>
      </c>
      <c r="K173" s="58"/>
      <c r="L173" s="57">
        <f>SUM(U161:U176)+SUM(W161:W176)+SUM(Z161:Z176)+SUM(AA161:AA176)</f>
        <v>13973.1</v>
      </c>
    </row>
    <row r="174" spans="1:12" ht="28.5">
      <c r="A174" s="74"/>
      <c r="B174" s="74" t="s">
        <v>432</v>
      </c>
      <c r="C174" s="74" t="s">
        <v>433</v>
      </c>
      <c r="D174" s="55" t="s">
        <v>401</v>
      </c>
      <c r="E174" s="56">
        <f>Source!BZ84</f>
        <v>109</v>
      </c>
      <c r="F174" s="56">
        <f>ROUND(0.9,7)</f>
        <v>0.9</v>
      </c>
      <c r="G174" s="56">
        <f>Source!AT84</f>
        <v>98.1</v>
      </c>
      <c r="H174" s="57"/>
      <c r="I174" s="58"/>
      <c r="J174" s="57">
        <f>SUM(AG161:AG176)</f>
        <v>367.1</v>
      </c>
      <c r="K174" s="58"/>
      <c r="L174" s="57">
        <f>SUM(AH161:AH176)</f>
        <v>13707.61</v>
      </c>
    </row>
    <row r="175" spans="1:12" ht="28.5">
      <c r="A175" s="76"/>
      <c r="B175" s="76" t="s">
        <v>434</v>
      </c>
      <c r="C175" s="76" t="s">
        <v>435</v>
      </c>
      <c r="D175" s="59" t="s">
        <v>401</v>
      </c>
      <c r="E175" s="60">
        <f>Source!CA84</f>
        <v>57</v>
      </c>
      <c r="F175" s="60">
        <f>ROUND(0.85,7)</f>
        <v>0.85</v>
      </c>
      <c r="G175" s="60">
        <f>Source!AU84</f>
        <v>48.45</v>
      </c>
      <c r="H175" s="61"/>
      <c r="I175" s="62"/>
      <c r="J175" s="61">
        <f>SUM(AI161:AI176)</f>
        <v>181.3</v>
      </c>
      <c r="K175" s="62"/>
      <c r="L175" s="61">
        <f>SUM(AJ161:AJ176)</f>
        <v>6769.97</v>
      </c>
    </row>
    <row r="176" spans="3:53" ht="15">
      <c r="C176" s="144" t="s">
        <v>403</v>
      </c>
      <c r="D176" s="144"/>
      <c r="E176" s="144"/>
      <c r="F176" s="144"/>
      <c r="G176" s="144"/>
      <c r="H176" s="144"/>
      <c r="I176" s="144">
        <f>J164+J165+J167+J174+J175+SUM(J171:J172)</f>
        <v>14362.79</v>
      </c>
      <c r="J176" s="144"/>
      <c r="K176" s="144">
        <f>L164+L165+L167+L174+L175+SUM(L171:L172)</f>
        <v>124902.67</v>
      </c>
      <c r="L176" s="144"/>
      <c r="O176" s="47">
        <f>I176</f>
        <v>14362.79</v>
      </c>
      <c r="P176" s="47">
        <f>K176</f>
        <v>124902.67</v>
      </c>
      <c r="Q176" s="47">
        <f>J164</f>
        <v>363.24</v>
      </c>
      <c r="R176" s="47">
        <f>J164</f>
        <v>363.24</v>
      </c>
      <c r="U176" s="47">
        <f>L164</f>
        <v>13563.31</v>
      </c>
      <c r="X176" s="47">
        <f>J166</f>
        <v>10.97</v>
      </c>
      <c r="Z176" s="47">
        <f>L166</f>
        <v>409.79</v>
      </c>
      <c r="AB176" s="47">
        <f>J165</f>
        <v>72.08</v>
      </c>
      <c r="AD176" s="47">
        <f>L165</f>
        <v>954.45</v>
      </c>
      <c r="AF176" s="47">
        <f>J167</f>
        <v>426.65</v>
      </c>
      <c r="AN176">
        <f>IF(Source!BI84&lt;=1,J164+J165+J167+J174+J175,0)</f>
        <v>1410.3700000000001</v>
      </c>
      <c r="AO176">
        <f>IF(Source!BI84&lt;=1,J167,0)</f>
        <v>426.65</v>
      </c>
      <c r="AP176">
        <f>IF(Source!BI84&lt;=1,J165,0)</f>
        <v>72.08</v>
      </c>
      <c r="AQ176">
        <f>IF(Source!BI84&lt;=1,J164,0)</f>
        <v>363.24</v>
      </c>
      <c r="AX176">
        <f>IF(Source!BI84=2,J164+J165+J167+J174+J175,0)</f>
        <v>0</v>
      </c>
      <c r="AY176">
        <f>IF(Source!BI84=2,J167,0)</f>
        <v>0</v>
      </c>
      <c r="AZ176">
        <f>IF(Source!BI84=2,J165,0)</f>
        <v>0</v>
      </c>
      <c r="BA176">
        <f>IF(Source!BI84=2,J164,0)</f>
        <v>0</v>
      </c>
    </row>
    <row r="177" spans="1:56" ht="159">
      <c r="A177" s="74">
        <v>9</v>
      </c>
      <c r="B177" s="74" t="s">
        <v>446</v>
      </c>
      <c r="C177" s="74" t="s">
        <v>447</v>
      </c>
      <c r="D177" s="55" t="str">
        <f>Source!DW90</f>
        <v>100 м</v>
      </c>
      <c r="E177" s="56">
        <f>Source!K90</f>
        <v>0.104</v>
      </c>
      <c r="F177" s="56"/>
      <c r="G177" s="56">
        <f>Source!I90</f>
        <v>0.104</v>
      </c>
      <c r="H177" s="57"/>
      <c r="I177" s="58"/>
      <c r="J177" s="57"/>
      <c r="K177" s="58"/>
      <c r="L177" s="57"/>
      <c r="AG177">
        <f>ROUND((Source!AT90/100)*((ROUND(Source!AF90*Source!I90,2)+ROUND(Source!AE90*Source!I90,2))),2)</f>
        <v>39.68</v>
      </c>
      <c r="AH177">
        <f>Source!X90</f>
        <v>1481.66</v>
      </c>
      <c r="AI177">
        <f>ROUND((Source!AU90/100)*((ROUND(Source!AF90*Source!I90,2)+ROUND(Source!AE90*Source!I90,2))),2)</f>
        <v>19.6</v>
      </c>
      <c r="AJ177">
        <f>Source!Y90</f>
        <v>731.77</v>
      </c>
      <c r="AS177">
        <f>IF(Source!BI90&lt;=1,AH177,0)</f>
        <v>1481.66</v>
      </c>
      <c r="AT177">
        <f>IF(Source!BI90&lt;=1,AJ177,0)</f>
        <v>731.77</v>
      </c>
      <c r="BC177">
        <f>IF(Source!BI90=2,AH177,0)</f>
        <v>0</v>
      </c>
      <c r="BD177">
        <f>IF(Source!BI90=2,AJ177,0)</f>
        <v>0</v>
      </c>
    </row>
    <row r="178" ht="38.25">
      <c r="B178" s="48" t="str">
        <f>Source!EO90</f>
        <v>Поправка: М-ка 421/пр 04.08.20 п.58 п.п. б)</v>
      </c>
    </row>
    <row r="179" ht="12.75">
      <c r="C179" s="45" t="str">
        <f>"Объем: "&amp;Source!K90&amp;"=10,4/"&amp;"100"</f>
        <v>Объем: 0,104=10,4/100</v>
      </c>
    </row>
    <row r="180" spans="1:12" ht="14.25">
      <c r="A180" s="74"/>
      <c r="B180" s="75">
        <v>1</v>
      </c>
      <c r="C180" s="74" t="s">
        <v>394</v>
      </c>
      <c r="D180" s="55"/>
      <c r="E180" s="56"/>
      <c r="F180" s="56"/>
      <c r="G180" s="56"/>
      <c r="H180" s="57">
        <f>Source!AO90</f>
        <v>325.89</v>
      </c>
      <c r="I180" s="58">
        <f>ROUND(1.15,7)</f>
        <v>1.15</v>
      </c>
      <c r="J180" s="57">
        <f>ROUND(Source!AF90*Source!I90,2)</f>
        <v>38.98</v>
      </c>
      <c r="K180" s="58">
        <f>IF(Source!BA90&lt;&gt;0,Source!BA90,1)</f>
        <v>37.34</v>
      </c>
      <c r="L180" s="57">
        <f>Source!S90</f>
        <v>1455.37</v>
      </c>
    </row>
    <row r="181" spans="1:12" ht="14.25">
      <c r="A181" s="74"/>
      <c r="B181" s="75">
        <v>3</v>
      </c>
      <c r="C181" s="74" t="s">
        <v>395</v>
      </c>
      <c r="D181" s="55"/>
      <c r="E181" s="56"/>
      <c r="F181" s="56"/>
      <c r="G181" s="56"/>
      <c r="H181" s="57">
        <f>Source!AM90</f>
        <v>74.1</v>
      </c>
      <c r="I181" s="58">
        <f>ROUND(1.25,7)</f>
        <v>1.25</v>
      </c>
      <c r="J181" s="57">
        <f>ROUND(((((Source!ET90*ROUND(1.25,7)))-((Source!EU90*ROUND(1.25,7))))+Source!AE90)*Source!I90,2)</f>
        <v>9.63</v>
      </c>
      <c r="K181" s="58">
        <f>IF(Source!BB90&lt;&gt;0,Source!BB90,1)</f>
        <v>13.24</v>
      </c>
      <c r="L181" s="57">
        <f>Source!Q90</f>
        <v>127.53</v>
      </c>
    </row>
    <row r="182" spans="1:12" ht="14.25">
      <c r="A182" s="74"/>
      <c r="B182" s="75">
        <v>2</v>
      </c>
      <c r="C182" s="74" t="s">
        <v>406</v>
      </c>
      <c r="D182" s="55"/>
      <c r="E182" s="56"/>
      <c r="F182" s="56"/>
      <c r="G182" s="56"/>
      <c r="H182" s="57">
        <f>Source!AN90</f>
        <v>11.33</v>
      </c>
      <c r="I182" s="58">
        <f>ROUND(1.25,7)</f>
        <v>1.25</v>
      </c>
      <c r="J182" s="63">
        <f>ROUND(Source!AE90*Source!I90,2)</f>
        <v>1.47</v>
      </c>
      <c r="K182" s="58">
        <f>IF(Source!BS90&lt;&gt;0,Source!BS90,1)</f>
        <v>37.34</v>
      </c>
      <c r="L182" s="63">
        <f>Source!R90</f>
        <v>54.99</v>
      </c>
    </row>
    <row r="183" spans="1:12" ht="14.25">
      <c r="A183" s="74"/>
      <c r="B183" s="75">
        <v>4</v>
      </c>
      <c r="C183" s="74" t="s">
        <v>430</v>
      </c>
      <c r="D183" s="55"/>
      <c r="E183" s="56"/>
      <c r="F183" s="56"/>
      <c r="G183" s="56"/>
      <c r="H183" s="57">
        <f>Source!AL90</f>
        <v>462.96</v>
      </c>
      <c r="I183" s="58"/>
      <c r="J183" s="57">
        <f>ROUND(Source!AC90*Source!I90,2)</f>
        <v>48.15</v>
      </c>
      <c r="K183" s="58">
        <f>IF(Source!BC90&lt;&gt;0,Source!BC90,1)</f>
        <v>6.72</v>
      </c>
      <c r="L183" s="57">
        <f>Source!P90</f>
        <v>323.55</v>
      </c>
    </row>
    <row r="184" spans="1:12" ht="14.25">
      <c r="A184" s="74"/>
      <c r="B184" s="74"/>
      <c r="C184" s="74" t="s">
        <v>396</v>
      </c>
      <c r="D184" s="55" t="s">
        <v>397</v>
      </c>
      <c r="E184" s="56">
        <f>Source!AQ90</f>
        <v>35.5</v>
      </c>
      <c r="F184" s="56">
        <f>ROUND(1.15,7)</f>
        <v>1.15</v>
      </c>
      <c r="G184" s="111">
        <f>ROUND(Source!U90,7)</f>
        <v>4.2458</v>
      </c>
      <c r="H184" s="57"/>
      <c r="I184" s="58"/>
      <c r="J184" s="57"/>
      <c r="K184" s="58"/>
      <c r="L184" s="57"/>
    </row>
    <row r="185" spans="1:12" ht="14.25">
      <c r="A185" s="74"/>
      <c r="B185" s="74"/>
      <c r="C185" s="76" t="s">
        <v>407</v>
      </c>
      <c r="D185" s="59" t="s">
        <v>397</v>
      </c>
      <c r="E185" s="60">
        <f>Source!AR90</f>
        <v>0.86</v>
      </c>
      <c r="F185" s="60">
        <f>ROUND(1.25,7)</f>
        <v>1.25</v>
      </c>
      <c r="G185" s="110">
        <f>ROUND(Source!V90,7)</f>
        <v>0.1118</v>
      </c>
      <c r="H185" s="61"/>
      <c r="I185" s="62"/>
      <c r="J185" s="61"/>
      <c r="K185" s="62"/>
      <c r="L185" s="61"/>
    </row>
    <row r="186" spans="1:12" ht="14.25">
      <c r="A186" s="74"/>
      <c r="B186" s="74"/>
      <c r="C186" s="74" t="s">
        <v>398</v>
      </c>
      <c r="D186" s="55"/>
      <c r="E186" s="56"/>
      <c r="F186" s="56"/>
      <c r="G186" s="56"/>
      <c r="H186" s="57">
        <f>H180+H181+H183</f>
        <v>862.95</v>
      </c>
      <c r="I186" s="58"/>
      <c r="J186" s="57">
        <f>J180+J181+J183</f>
        <v>96.75999999999999</v>
      </c>
      <c r="K186" s="58"/>
      <c r="L186" s="57">
        <f>L180+L181+L183</f>
        <v>1906.4499999999998</v>
      </c>
    </row>
    <row r="187" spans="1:56" ht="114">
      <c r="A187" s="74" t="s">
        <v>165</v>
      </c>
      <c r="B187" s="74" t="s">
        <v>444</v>
      </c>
      <c r="C187" s="74" t="str">
        <f>Source!G92</f>
        <v>Материал рулонный битумно-полимерный кровельный и гидроизоляционный ТПП/ЭПП/ХПП, для нижнего слоя кровли, основа-стеклоткань/полиэстер/стеклохолст, гибкость не выше -25 °C, масса 1 м2 от 3,5 до 4,0 кг, прочность 390-590 Н, теплостойкость не менее 100 °C</v>
      </c>
      <c r="D187" s="55" t="str">
        <f>Source!DW92</f>
        <v>м2</v>
      </c>
      <c r="E187" s="56">
        <f>SmtRes!AT104</f>
        <v>116</v>
      </c>
      <c r="F187" s="56"/>
      <c r="G187" s="111">
        <f>Source!I92</f>
        <v>12.064</v>
      </c>
      <c r="H187" s="57">
        <f>Source!AL92+Source!AO92+Source!AM92</f>
        <v>23.06</v>
      </c>
      <c r="I187" s="58"/>
      <c r="J187" s="57">
        <f>ROUND(Source!AC92*Source!I92,2)+ROUND((((Source!ET92)-(Source!EU92))+Source!AE92)*Source!I92,2)+ROUND(Source!AF92*Source!I92,2)</f>
        <v>278.2</v>
      </c>
      <c r="K187" s="58">
        <f>IF(Source!BC92&lt;&gt;0,Source!BC92,1)</f>
        <v>6.72</v>
      </c>
      <c r="L187" s="57">
        <f>Source!O92</f>
        <v>1869.48</v>
      </c>
      <c r="AF187" s="47">
        <f>J187</f>
        <v>278.2</v>
      </c>
      <c r="AG187">
        <f>ROUND((Source!AT92/100)*((ROUND(Source!AF92*Source!I92,2)+ROUND(Source!AE92*Source!I92,2))),2)</f>
        <v>0</v>
      </c>
      <c r="AH187">
        <f>Source!X92</f>
        <v>0</v>
      </c>
      <c r="AI187">
        <f>ROUND((Source!AU92/100)*((ROUND(Source!AF92*Source!I92,2)+ROUND(Source!AE92*Source!I92,2))),2)</f>
        <v>0</v>
      </c>
      <c r="AJ187">
        <f>Source!Y92</f>
        <v>0</v>
      </c>
      <c r="AN187">
        <f>IF(Source!BI92&lt;=1,J187,0)</f>
        <v>278.2</v>
      </c>
      <c r="AO187">
        <f>IF(Source!BI92&lt;=1,J187,0)</f>
        <v>278.2</v>
      </c>
      <c r="AS187">
        <f>IF(Source!BI92&lt;=1,AH187,0)</f>
        <v>0</v>
      </c>
      <c r="AT187">
        <f>IF(Source!BI92&lt;=1,AJ187,0)</f>
        <v>0</v>
      </c>
      <c r="AX187">
        <f>IF(Source!BI92=2,J187,0)</f>
        <v>0</v>
      </c>
      <c r="AY187">
        <f>IF(Source!BI92=2,J187,0)</f>
        <v>0</v>
      </c>
      <c r="BC187">
        <f>IF(Source!BI92=2,AH187,0)</f>
        <v>0</v>
      </c>
      <c r="BD187">
        <f>IF(Source!BI92=2,AJ187,0)</f>
        <v>0</v>
      </c>
    </row>
    <row r="188" spans="1:56" ht="114">
      <c r="A188" s="74" t="s">
        <v>166</v>
      </c>
      <c r="B188" s="74" t="s">
        <v>445</v>
      </c>
      <c r="C188" s="74" t="str">
        <f>Source!G94</f>
        <v>Материал рулонный битумно-полимерный кровельный и гидроизоляционный ТКП/ЭКП/ХКП, для верхнего слоя кровли, основа-стеклоткань/полиэстер/стеклохолст, гибкость не выше -25 °C, масса 1 м2 4,5 кг, прочность 390-590 Н, теплостойкость не менее 100 °C</v>
      </c>
      <c r="D188" s="55" t="str">
        <f>Source!DW94</f>
        <v>м2</v>
      </c>
      <c r="E188" s="56">
        <f>SmtRes!AT103</f>
        <v>114</v>
      </c>
      <c r="F188" s="56"/>
      <c r="G188" s="111">
        <f>Source!I94</f>
        <v>11.856</v>
      </c>
      <c r="H188" s="57">
        <f>Source!AL94+Source!AO94+Source!AM94</f>
        <v>25.09</v>
      </c>
      <c r="I188" s="58"/>
      <c r="J188" s="57">
        <f>ROUND(Source!AC94*Source!I94,2)+ROUND((((Source!ET94)-(Source!EU94))+Source!AE94)*Source!I94,2)+ROUND(Source!AF94*Source!I94,2)</f>
        <v>297.47</v>
      </c>
      <c r="K188" s="58">
        <f>IF(Source!BC94&lt;&gt;0,Source!BC94,1)</f>
        <v>6.72</v>
      </c>
      <c r="L188" s="57">
        <f>Source!O94</f>
        <v>1998.98</v>
      </c>
      <c r="AF188" s="47">
        <f>J188</f>
        <v>297.47</v>
      </c>
      <c r="AG188">
        <f>ROUND((Source!AT94/100)*((ROUND(Source!AF94*Source!I94,2)+ROUND(Source!AE94*Source!I94,2))),2)</f>
        <v>0</v>
      </c>
      <c r="AH188">
        <f>Source!X94</f>
        <v>0</v>
      </c>
      <c r="AI188">
        <f>ROUND((Source!AU94/100)*((ROUND(Source!AF94*Source!I94,2)+ROUND(Source!AE94*Source!I94,2))),2)</f>
        <v>0</v>
      </c>
      <c r="AJ188">
        <f>Source!Y94</f>
        <v>0</v>
      </c>
      <c r="AN188">
        <f>IF(Source!BI94&lt;=1,J188,0)</f>
        <v>297.47</v>
      </c>
      <c r="AO188">
        <f>IF(Source!BI94&lt;=1,J188,0)</f>
        <v>297.47</v>
      </c>
      <c r="AS188">
        <f>IF(Source!BI94&lt;=1,AH188,0)</f>
        <v>0</v>
      </c>
      <c r="AT188">
        <f>IF(Source!BI94&lt;=1,AJ188,0)</f>
        <v>0</v>
      </c>
      <c r="AX188">
        <f>IF(Source!BI94=2,J188,0)</f>
        <v>0</v>
      </c>
      <c r="AY188">
        <f>IF(Source!BI94=2,J188,0)</f>
        <v>0</v>
      </c>
      <c r="BC188">
        <f>IF(Source!BI94=2,AH188,0)</f>
        <v>0</v>
      </c>
      <c r="BD188">
        <f>IF(Source!BI94=2,AJ188,0)</f>
        <v>0</v>
      </c>
    </row>
    <row r="189" spans="1:12" ht="14.25">
      <c r="A189" s="74"/>
      <c r="B189" s="74"/>
      <c r="C189" s="74" t="s">
        <v>399</v>
      </c>
      <c r="D189" s="55"/>
      <c r="E189" s="56"/>
      <c r="F189" s="56"/>
      <c r="G189" s="56"/>
      <c r="H189" s="57"/>
      <c r="I189" s="58"/>
      <c r="J189" s="57">
        <f>SUM(Q177:Q192)+SUM(V177:V192)+SUM(X177:X192)+SUM(Y177:Y192)</f>
        <v>40.449999999999996</v>
      </c>
      <c r="K189" s="58"/>
      <c r="L189" s="57">
        <f>SUM(U177:U192)+SUM(W177:W192)+SUM(Z177:Z192)+SUM(AA177:AA192)</f>
        <v>1510.36</v>
      </c>
    </row>
    <row r="190" spans="1:12" ht="28.5">
      <c r="A190" s="74"/>
      <c r="B190" s="74" t="s">
        <v>432</v>
      </c>
      <c r="C190" s="74" t="s">
        <v>433</v>
      </c>
      <c r="D190" s="55" t="s">
        <v>401</v>
      </c>
      <c r="E190" s="56">
        <f>Source!BZ90</f>
        <v>109</v>
      </c>
      <c r="F190" s="56">
        <f>ROUND(0.9,7)</f>
        <v>0.9</v>
      </c>
      <c r="G190" s="56">
        <f>Source!AT90</f>
        <v>98.1</v>
      </c>
      <c r="H190" s="57"/>
      <c r="I190" s="58"/>
      <c r="J190" s="57">
        <f>SUM(AG177:AG192)</f>
        <v>39.68</v>
      </c>
      <c r="K190" s="58"/>
      <c r="L190" s="57">
        <f>SUM(AH177:AH192)</f>
        <v>1481.66</v>
      </c>
    </row>
    <row r="191" spans="1:12" ht="28.5">
      <c r="A191" s="76"/>
      <c r="B191" s="76" t="s">
        <v>434</v>
      </c>
      <c r="C191" s="76" t="s">
        <v>435</v>
      </c>
      <c r="D191" s="59" t="s">
        <v>401</v>
      </c>
      <c r="E191" s="60">
        <f>Source!CA90</f>
        <v>57</v>
      </c>
      <c r="F191" s="60">
        <f>ROUND(0.85,7)</f>
        <v>0.85</v>
      </c>
      <c r="G191" s="60">
        <f>Source!AU90</f>
        <v>48.45</v>
      </c>
      <c r="H191" s="61"/>
      <c r="I191" s="62"/>
      <c r="J191" s="61">
        <f>SUM(AI177:AI192)</f>
        <v>19.6</v>
      </c>
      <c r="K191" s="62"/>
      <c r="L191" s="61">
        <f>SUM(AJ177:AJ192)</f>
        <v>731.77</v>
      </c>
    </row>
    <row r="192" spans="3:53" ht="15">
      <c r="C192" s="144" t="s">
        <v>403</v>
      </c>
      <c r="D192" s="144"/>
      <c r="E192" s="144"/>
      <c r="F192" s="144"/>
      <c r="G192" s="144"/>
      <c r="H192" s="144"/>
      <c r="I192" s="144">
        <f>J180+J181+J183+J190+J191+SUM(J187:J188)</f>
        <v>731.71</v>
      </c>
      <c r="J192" s="144"/>
      <c r="K192" s="144">
        <f>L180+L181+L183+L190+L191+SUM(L187:L188)</f>
        <v>7988.339999999999</v>
      </c>
      <c r="L192" s="144"/>
      <c r="O192" s="47">
        <f>I192</f>
        <v>731.71</v>
      </c>
      <c r="P192" s="47">
        <f>K192</f>
        <v>7988.339999999999</v>
      </c>
      <c r="Q192" s="47">
        <f>J180</f>
        <v>38.98</v>
      </c>
      <c r="R192" s="47">
        <f>J180</f>
        <v>38.98</v>
      </c>
      <c r="U192" s="47">
        <f>L180</f>
        <v>1455.37</v>
      </c>
      <c r="X192" s="47">
        <f>J182</f>
        <v>1.47</v>
      </c>
      <c r="Z192" s="47">
        <f>L182</f>
        <v>54.99</v>
      </c>
      <c r="AB192" s="47">
        <f>J181</f>
        <v>9.63</v>
      </c>
      <c r="AD192" s="47">
        <f>L181</f>
        <v>127.53</v>
      </c>
      <c r="AF192" s="47">
        <f>J183</f>
        <v>48.15</v>
      </c>
      <c r="AN192">
        <f>IF(Source!BI90&lt;=1,J180+J181+J183+J190+J191,0)</f>
        <v>156.04</v>
      </c>
      <c r="AO192">
        <f>IF(Source!BI90&lt;=1,J183,0)</f>
        <v>48.15</v>
      </c>
      <c r="AP192">
        <f>IF(Source!BI90&lt;=1,J181,0)</f>
        <v>9.63</v>
      </c>
      <c r="AQ192">
        <f>IF(Source!BI90&lt;=1,J180,0)</f>
        <v>38.98</v>
      </c>
      <c r="AX192">
        <f>IF(Source!BI90=2,J180+J181+J183+J190+J191,0)</f>
        <v>0</v>
      </c>
      <c r="AY192">
        <f>IF(Source!BI90=2,J183,0)</f>
        <v>0</v>
      </c>
      <c r="AZ192">
        <f>IF(Source!BI90=2,J181,0)</f>
        <v>0</v>
      </c>
      <c r="BA192">
        <f>IF(Source!BI90=2,J180,0)</f>
        <v>0</v>
      </c>
    </row>
    <row r="194" spans="1:95" ht="15">
      <c r="A194" s="66"/>
      <c r="B194" s="67"/>
      <c r="C194" s="143" t="s">
        <v>412</v>
      </c>
      <c r="D194" s="143"/>
      <c r="E194" s="143"/>
      <c r="F194" s="143"/>
      <c r="G194" s="143"/>
      <c r="H194" s="143"/>
      <c r="I194" s="68"/>
      <c r="J194" s="69">
        <f>J196+J197+J198+J199</f>
        <v>22218.870000000003</v>
      </c>
      <c r="K194" s="69"/>
      <c r="L194" s="69">
        <f>L196+L197+L198+L199</f>
        <v>178522.44</v>
      </c>
      <c r="CQ194" s="78" t="s">
        <v>412</v>
      </c>
    </row>
    <row r="195" spans="1:12" ht="14.25">
      <c r="A195" s="70"/>
      <c r="B195" s="71"/>
      <c r="C195" s="142" t="s">
        <v>413</v>
      </c>
      <c r="D195" s="131"/>
      <c r="E195" s="131"/>
      <c r="F195" s="131"/>
      <c r="G195" s="131"/>
      <c r="H195" s="131"/>
      <c r="I195" s="72"/>
      <c r="J195" s="73"/>
      <c r="K195" s="73"/>
      <c r="L195" s="73"/>
    </row>
    <row r="196" spans="1:12" ht="14.25">
      <c r="A196" s="70"/>
      <c r="B196" s="71"/>
      <c r="C196" s="131" t="s">
        <v>414</v>
      </c>
      <c r="D196" s="131"/>
      <c r="E196" s="131"/>
      <c r="F196" s="131"/>
      <c r="G196" s="131"/>
      <c r="H196" s="131"/>
      <c r="I196" s="72"/>
      <c r="J196" s="73">
        <f>SUM(Q103:Q192)</f>
        <v>875.44</v>
      </c>
      <c r="K196" s="73"/>
      <c r="L196" s="73">
        <f>SUM(U103:U192)</f>
        <v>32688.639999999996</v>
      </c>
    </row>
    <row r="197" spans="1:12" ht="14.25">
      <c r="A197" s="70"/>
      <c r="B197" s="71"/>
      <c r="C197" s="131" t="s">
        <v>415</v>
      </c>
      <c r="D197" s="131"/>
      <c r="E197" s="131"/>
      <c r="F197" s="131"/>
      <c r="G197" s="131"/>
      <c r="H197" s="131"/>
      <c r="I197" s="72"/>
      <c r="J197" s="73">
        <f>SUM(AB103:AB192)</f>
        <v>368.9</v>
      </c>
      <c r="K197" s="73"/>
      <c r="L197" s="73">
        <f>SUM(AD103:AD192)</f>
        <v>4885.079999999999</v>
      </c>
    </row>
    <row r="198" spans="1:12" ht="14.25">
      <c r="A198" s="70"/>
      <c r="B198" s="71"/>
      <c r="C198" s="131" t="s">
        <v>416</v>
      </c>
      <c r="D198" s="131"/>
      <c r="E198" s="131"/>
      <c r="F198" s="131"/>
      <c r="G198" s="131"/>
      <c r="H198" s="131"/>
      <c r="I198" s="72"/>
      <c r="J198" s="73">
        <f>SUM(AF103:AF192)-J203</f>
        <v>20974.530000000002</v>
      </c>
      <c r="K198" s="73"/>
      <c r="L198" s="73">
        <f>Source!P99-L203</f>
        <v>140948.72</v>
      </c>
    </row>
    <row r="199" spans="1:12" ht="13.5" customHeight="1" hidden="1">
      <c r="A199" s="70"/>
      <c r="B199" s="71"/>
      <c r="C199" s="131" t="s">
        <v>417</v>
      </c>
      <c r="D199" s="131"/>
      <c r="E199" s="131"/>
      <c r="F199" s="131"/>
      <c r="G199" s="131"/>
      <c r="H199" s="131"/>
      <c r="I199" s="72"/>
      <c r="J199" s="73">
        <f>SUM(AR103:AR192)+SUM(BB103:BB192)+SUM(BI103:BI192)+SUM(BP103:BP192)</f>
        <v>0</v>
      </c>
      <c r="K199" s="73"/>
      <c r="L199" s="73">
        <f>Source!P121</f>
        <v>0</v>
      </c>
    </row>
    <row r="200" spans="1:12" ht="14.25">
      <c r="A200" s="70"/>
      <c r="B200" s="71"/>
      <c r="C200" s="131" t="s">
        <v>418</v>
      </c>
      <c r="D200" s="131"/>
      <c r="E200" s="131"/>
      <c r="F200" s="131"/>
      <c r="G200" s="131"/>
      <c r="H200" s="131"/>
      <c r="I200" s="72"/>
      <c r="J200" s="73">
        <f>SUM(Q103:Q192)+SUM(X103:X192)</f>
        <v>922.07</v>
      </c>
      <c r="K200" s="73"/>
      <c r="L200" s="73">
        <f>SUM(U103:U192)+SUM(Z103:Z192)</f>
        <v>34429.99</v>
      </c>
    </row>
    <row r="201" spans="1:12" ht="14.25">
      <c r="A201" s="70"/>
      <c r="B201" s="71"/>
      <c r="C201" s="131" t="s">
        <v>419</v>
      </c>
      <c r="D201" s="131"/>
      <c r="E201" s="131"/>
      <c r="F201" s="131"/>
      <c r="G201" s="131"/>
      <c r="H201" s="131"/>
      <c r="I201" s="72"/>
      <c r="J201" s="73">
        <f>SUM(AG103:AG192)</f>
        <v>904.55</v>
      </c>
      <c r="K201" s="73"/>
      <c r="L201" s="73">
        <f>Source!P122</f>
        <v>33775.81</v>
      </c>
    </row>
    <row r="202" spans="1:12" ht="14.25">
      <c r="A202" s="70"/>
      <c r="B202" s="71"/>
      <c r="C202" s="131" t="s">
        <v>420</v>
      </c>
      <c r="D202" s="131"/>
      <c r="E202" s="131"/>
      <c r="F202" s="131"/>
      <c r="G202" s="131"/>
      <c r="H202" s="131"/>
      <c r="I202" s="72"/>
      <c r="J202" s="73">
        <f>SUM(AI103:AI192)</f>
        <v>446.73</v>
      </c>
      <c r="K202" s="73"/>
      <c r="L202" s="73">
        <f>Source!P123</f>
        <v>16681.34</v>
      </c>
    </row>
    <row r="203" spans="1:12" ht="13.5" customHeight="1" hidden="1">
      <c r="A203" s="70"/>
      <c r="B203" s="71"/>
      <c r="C203" s="131" t="s">
        <v>421</v>
      </c>
      <c r="D203" s="131"/>
      <c r="E203" s="131"/>
      <c r="F203" s="131"/>
      <c r="G203" s="131"/>
      <c r="H203" s="131"/>
      <c r="I203" s="72"/>
      <c r="J203" s="73">
        <f>SUM(BH103:BH192)</f>
        <v>0</v>
      </c>
      <c r="K203" s="73"/>
      <c r="L203" s="73">
        <f>Source!P105</f>
        <v>0</v>
      </c>
    </row>
    <row r="204" spans="1:12" ht="13.5" customHeight="1" hidden="1">
      <c r="A204" s="70"/>
      <c r="B204" s="71"/>
      <c r="C204" s="131" t="s">
        <v>422</v>
      </c>
      <c r="D204" s="131"/>
      <c r="E204" s="131"/>
      <c r="F204" s="131"/>
      <c r="G204" s="131"/>
      <c r="H204" s="131"/>
      <c r="I204" s="72"/>
      <c r="J204" s="73">
        <f>SUM(BM103:BM192)+SUM(BN103:BN192)+SUM(BO103:BO192)+SUM(BP103:BP192)</f>
        <v>0</v>
      </c>
      <c r="K204" s="73"/>
      <c r="L204" s="73">
        <f>Source!P115</f>
        <v>0</v>
      </c>
    </row>
    <row r="205" spans="1:12" ht="15">
      <c r="A205" s="66"/>
      <c r="B205" s="67"/>
      <c r="C205" s="143" t="s">
        <v>423</v>
      </c>
      <c r="D205" s="143"/>
      <c r="E205" s="143"/>
      <c r="F205" s="143"/>
      <c r="G205" s="143"/>
      <c r="H205" s="143"/>
      <c r="I205" s="68"/>
      <c r="J205" s="69">
        <f>J194+J201+J202+J203</f>
        <v>23570.15</v>
      </c>
      <c r="K205" s="69"/>
      <c r="L205" s="69">
        <f>Source!P124</f>
        <v>228979.59</v>
      </c>
    </row>
    <row r="206" spans="1:12" ht="13.5" customHeight="1" hidden="1">
      <c r="A206" s="70"/>
      <c r="B206" s="71"/>
      <c r="C206" s="142" t="s">
        <v>424</v>
      </c>
      <c r="D206" s="131"/>
      <c r="E206" s="131"/>
      <c r="F206" s="131"/>
      <c r="G206" s="131"/>
      <c r="H206" s="131"/>
      <c r="I206" s="72"/>
      <c r="J206" s="73"/>
      <c r="K206" s="73"/>
      <c r="L206" s="73"/>
    </row>
    <row r="207" spans="1:12" ht="13.5" customHeight="1" hidden="1">
      <c r="A207" s="70"/>
      <c r="B207" s="71"/>
      <c r="C207" s="131" t="s">
        <v>425</v>
      </c>
      <c r="D207" s="131"/>
      <c r="E207" s="131"/>
      <c r="F207" s="131"/>
      <c r="G207" s="131"/>
      <c r="H207" s="131"/>
      <c r="I207" s="72"/>
      <c r="J207" s="73"/>
      <c r="K207" s="73"/>
      <c r="L207" s="73">
        <f>SUM(BS103:BS192)</f>
        <v>0</v>
      </c>
    </row>
    <row r="208" spans="1:12" ht="13.5" customHeight="1" hidden="1">
      <c r="A208" s="70"/>
      <c r="B208" s="71"/>
      <c r="C208" s="131" t="s">
        <v>426</v>
      </c>
      <c r="D208" s="131"/>
      <c r="E208" s="131"/>
      <c r="F208" s="131"/>
      <c r="G208" s="131"/>
      <c r="H208" s="131"/>
      <c r="I208" s="72"/>
      <c r="J208" s="73"/>
      <c r="K208" s="73"/>
      <c r="L208" s="73">
        <f>SUM(BT103:BT192)</f>
        <v>0</v>
      </c>
    </row>
    <row r="210" spans="1:12" ht="16.5">
      <c r="A210" s="145" t="s">
        <v>448</v>
      </c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</row>
    <row r="211" spans="1:56" ht="28.5">
      <c r="A211" s="74">
        <v>10</v>
      </c>
      <c r="B211" s="74" t="s">
        <v>449</v>
      </c>
      <c r="C211" s="74" t="str">
        <f>Source!G131</f>
        <v>Затаривание строительного мусора в мешки</v>
      </c>
      <c r="D211" s="55" t="str">
        <f>Source!DW131</f>
        <v>т</v>
      </c>
      <c r="E211" s="56">
        <f>Source!K131</f>
        <v>5.4</v>
      </c>
      <c r="F211" s="56"/>
      <c r="G211" s="56">
        <f>Source!I131</f>
        <v>5.4</v>
      </c>
      <c r="H211" s="57"/>
      <c r="I211" s="58"/>
      <c r="J211" s="57"/>
      <c r="K211" s="58"/>
      <c r="L211" s="57"/>
      <c r="AG211">
        <f>ROUND((Source!AT131/100)*((ROUND(Source!AF131*Source!I131,2)+ROUND(Source!AE131*Source!I131,2))),2)</f>
        <v>36.81</v>
      </c>
      <c r="AH211">
        <f>Source!X131</f>
        <v>1374.59</v>
      </c>
      <c r="AI211">
        <f>ROUND((Source!AU131/100)*((ROUND(Source!AF131*Source!I131,2)+ROUND(Source!AE131*Source!I131,2))),2)</f>
        <v>17.6</v>
      </c>
      <c r="AJ211">
        <f>Source!Y131</f>
        <v>657.41</v>
      </c>
      <c r="AS211">
        <f>IF(Source!BI131&lt;=1,AH211,0)</f>
        <v>1374.59</v>
      </c>
      <c r="AT211">
        <f>IF(Source!BI131&lt;=1,AJ211,0)</f>
        <v>657.41</v>
      </c>
      <c r="BC211">
        <f>IF(Source!BI131=2,AH211,0)</f>
        <v>0</v>
      </c>
      <c r="BD211">
        <f>IF(Source!BI131=2,AJ211,0)</f>
        <v>0</v>
      </c>
    </row>
    <row r="213" spans="1:12" ht="14.25">
      <c r="A213" s="74"/>
      <c r="B213" s="75">
        <v>1</v>
      </c>
      <c r="C213" s="74" t="s">
        <v>394</v>
      </c>
      <c r="D213" s="55"/>
      <c r="E213" s="56"/>
      <c r="F213" s="56"/>
      <c r="G213" s="56"/>
      <c r="H213" s="57">
        <f>Source!AO131</f>
        <v>7.41</v>
      </c>
      <c r="I213" s="58"/>
      <c r="J213" s="57">
        <f>ROUND(Source!AF131*Source!I131,2)</f>
        <v>40.01</v>
      </c>
      <c r="K213" s="58">
        <f>IF(Source!BA131&lt;&gt;0,Source!BA131,1)</f>
        <v>37.34</v>
      </c>
      <c r="L213" s="57">
        <f>Source!S131</f>
        <v>1494.12</v>
      </c>
    </row>
    <row r="214" spans="1:12" ht="14.25">
      <c r="A214" s="74"/>
      <c r="B214" s="75">
        <v>4</v>
      </c>
      <c r="C214" s="74" t="s">
        <v>430</v>
      </c>
      <c r="D214" s="55"/>
      <c r="E214" s="56"/>
      <c r="F214" s="56"/>
      <c r="G214" s="56"/>
      <c r="H214" s="57">
        <f>Source!AL131</f>
        <v>16.4</v>
      </c>
      <c r="I214" s="58"/>
      <c r="J214" s="57">
        <f>ROUND(Source!AC131*Source!I131,2)</f>
        <v>88.56</v>
      </c>
      <c r="K214" s="58">
        <f>IF(Source!BC131&lt;&gt;0,Source!BC131,1)</f>
        <v>6.72</v>
      </c>
      <c r="L214" s="57">
        <f>Source!P131</f>
        <v>595.12</v>
      </c>
    </row>
    <row r="215" spans="1:12" ht="14.25">
      <c r="A215" s="74"/>
      <c r="B215" s="74"/>
      <c r="C215" s="76" t="s">
        <v>396</v>
      </c>
      <c r="D215" s="59" t="s">
        <v>397</v>
      </c>
      <c r="E215" s="60">
        <f>Source!AQ131</f>
        <v>1.03</v>
      </c>
      <c r="F215" s="60"/>
      <c r="G215" s="60">
        <f>ROUND(Source!U131,7)</f>
        <v>5.562</v>
      </c>
      <c r="H215" s="61"/>
      <c r="I215" s="62"/>
      <c r="J215" s="61"/>
      <c r="K215" s="62"/>
      <c r="L215" s="61"/>
    </row>
    <row r="216" spans="1:12" ht="14.25">
      <c r="A216" s="74"/>
      <c r="B216" s="74"/>
      <c r="C216" s="74" t="s">
        <v>398</v>
      </c>
      <c r="D216" s="55"/>
      <c r="E216" s="56"/>
      <c r="F216" s="56"/>
      <c r="G216" s="56"/>
      <c r="H216" s="57">
        <f>H213+H214</f>
        <v>23.81</v>
      </c>
      <c r="I216" s="58"/>
      <c r="J216" s="57">
        <f>J213+J214</f>
        <v>128.57</v>
      </c>
      <c r="K216" s="58"/>
      <c r="L216" s="57">
        <f>L213+L214</f>
        <v>2089.24</v>
      </c>
    </row>
    <row r="217" spans="1:12" ht="14.25">
      <c r="A217" s="74"/>
      <c r="B217" s="74"/>
      <c r="C217" s="74" t="s">
        <v>399</v>
      </c>
      <c r="D217" s="55"/>
      <c r="E217" s="56"/>
      <c r="F217" s="56"/>
      <c r="G217" s="56"/>
      <c r="H217" s="57"/>
      <c r="I217" s="58"/>
      <c r="J217" s="57">
        <f>SUM(Q211:Q220)+SUM(V211:V220)+SUM(X211:X220)+SUM(Y211:Y220)</f>
        <v>40.01</v>
      </c>
      <c r="K217" s="58"/>
      <c r="L217" s="57">
        <f>SUM(U211:U220)+SUM(W211:W220)+SUM(Z211:Z220)+SUM(AA211:AA220)</f>
        <v>1494.12</v>
      </c>
    </row>
    <row r="218" spans="1:12" ht="28.5">
      <c r="A218" s="74"/>
      <c r="B218" s="74" t="s">
        <v>175</v>
      </c>
      <c r="C218" s="74" t="s">
        <v>450</v>
      </c>
      <c r="D218" s="55" t="s">
        <v>401</v>
      </c>
      <c r="E218" s="56">
        <f>Source!BZ131</f>
        <v>92</v>
      </c>
      <c r="F218" s="56"/>
      <c r="G218" s="56">
        <f>Source!AT131</f>
        <v>92</v>
      </c>
      <c r="H218" s="57"/>
      <c r="I218" s="58"/>
      <c r="J218" s="57">
        <f>SUM(AG211:AG220)</f>
        <v>36.81</v>
      </c>
      <c r="K218" s="58"/>
      <c r="L218" s="57">
        <f>SUM(AH211:AH220)</f>
        <v>1374.59</v>
      </c>
    </row>
    <row r="219" spans="1:12" ht="28.5">
      <c r="A219" s="76"/>
      <c r="B219" s="76" t="s">
        <v>176</v>
      </c>
      <c r="C219" s="76" t="s">
        <v>451</v>
      </c>
      <c r="D219" s="59" t="s">
        <v>401</v>
      </c>
      <c r="E219" s="60">
        <f>Source!CA131</f>
        <v>44</v>
      </c>
      <c r="F219" s="60"/>
      <c r="G219" s="60">
        <f>Source!AU131</f>
        <v>44</v>
      </c>
      <c r="H219" s="61"/>
      <c r="I219" s="62"/>
      <c r="J219" s="61">
        <f>SUM(AI211:AI220)</f>
        <v>17.6</v>
      </c>
      <c r="K219" s="62"/>
      <c r="L219" s="61">
        <f>SUM(AJ211:AJ220)</f>
        <v>657.41</v>
      </c>
    </row>
    <row r="220" spans="3:53" ht="15">
      <c r="C220" s="144" t="s">
        <v>403</v>
      </c>
      <c r="D220" s="144"/>
      <c r="E220" s="144"/>
      <c r="F220" s="144"/>
      <c r="G220" s="144"/>
      <c r="H220" s="144"/>
      <c r="I220" s="144">
        <f>J213+J214+J218+J219</f>
        <v>182.98</v>
      </c>
      <c r="J220" s="144"/>
      <c r="K220" s="144">
        <f>L213+L214+L218+L219</f>
        <v>4121.24</v>
      </c>
      <c r="L220" s="144"/>
      <c r="O220" s="47">
        <f>I220</f>
        <v>182.98</v>
      </c>
      <c r="P220" s="47">
        <f>K220</f>
        <v>4121.24</v>
      </c>
      <c r="Q220" s="47">
        <f>J213</f>
        <v>40.01</v>
      </c>
      <c r="R220" s="47">
        <f>J213</f>
        <v>40.01</v>
      </c>
      <c r="U220" s="47">
        <f>L213</f>
        <v>1494.12</v>
      </c>
      <c r="X220">
        <f>0</f>
        <v>0</v>
      </c>
      <c r="Z220">
        <f>0</f>
        <v>0</v>
      </c>
      <c r="AB220">
        <f>0</f>
        <v>0</v>
      </c>
      <c r="AD220">
        <f>0</f>
        <v>0</v>
      </c>
      <c r="AF220" s="47">
        <f>J214</f>
        <v>88.56</v>
      </c>
      <c r="AN220">
        <f>IF(Source!BI131&lt;=1,J213+J214+J218+J219,0)</f>
        <v>182.98</v>
      </c>
      <c r="AO220">
        <f>IF(Source!BI131&lt;=1,J214,0)</f>
        <v>88.56</v>
      </c>
      <c r="AP220">
        <f>IF(Source!BI131&lt;=1,0,0)</f>
        <v>0</v>
      </c>
      <c r="AQ220">
        <f>IF(Source!BI131&lt;=1,J213,0)</f>
        <v>40.01</v>
      </c>
      <c r="AX220">
        <f>IF(Source!BI131=2,J213+J214+J218+J219,0)</f>
        <v>0</v>
      </c>
      <c r="AY220">
        <f>IF(Source!BI131=2,J214,0)</f>
        <v>0</v>
      </c>
      <c r="AZ220">
        <f>IF(Source!BI131=2,0,0)</f>
        <v>0</v>
      </c>
      <c r="BA220">
        <f>IF(Source!BI131=2,J213,0)</f>
        <v>0</v>
      </c>
    </row>
    <row r="221" spans="1:56" ht="42.75">
      <c r="A221" s="74">
        <v>11</v>
      </c>
      <c r="B221" s="74" t="s">
        <v>452</v>
      </c>
      <c r="C221" s="74" t="str">
        <f>Source!G133</f>
        <v>Погрузочные работы при автомобильных перевозках мусора строительного с погрузкой вручную</v>
      </c>
      <c r="D221" s="55" t="str">
        <f>Source!DW133</f>
        <v>1 Т ГРУЗА</v>
      </c>
      <c r="E221" s="56">
        <f>Source!K133</f>
        <v>11.18</v>
      </c>
      <c r="F221" s="56"/>
      <c r="G221" s="56">
        <f>Source!I133</f>
        <v>11.18</v>
      </c>
      <c r="H221" s="57">
        <f>Source!AK133</f>
        <v>42.98</v>
      </c>
      <c r="I221" s="58"/>
      <c r="J221" s="57">
        <f>ROUND(Source!AB133*Source!I133,2)</f>
        <v>480.52</v>
      </c>
      <c r="K221" s="58">
        <f>Source!AZ133</f>
        <v>13.24</v>
      </c>
      <c r="L221" s="57">
        <f>Source!GM133</f>
        <v>6362.04</v>
      </c>
      <c r="AG221">
        <f>ROUND((Source!AT133/100)*((ROUND(0*Source!I133,2)+ROUND(0*Source!I133,2))),2)</f>
        <v>0</v>
      </c>
      <c r="AH221">
        <f>Source!X133</f>
        <v>0</v>
      </c>
      <c r="AI221">
        <f>ROUND((Source!AU133/100)*((ROUND(0*Source!I133,2)+ROUND(0*Source!I133,2))),2)</f>
        <v>0</v>
      </c>
      <c r="AJ221">
        <f>Source!Y133</f>
        <v>0</v>
      </c>
      <c r="AS221">
        <f>IF(Source!BI133&lt;=1,AH221,0)</f>
        <v>0</v>
      </c>
      <c r="AT221">
        <f>IF(Source!BI133&lt;=1,AJ221,0)</f>
        <v>0</v>
      </c>
      <c r="BC221">
        <f>IF(Source!BI133=2,AH221,0)</f>
        <v>0</v>
      </c>
      <c r="BD221">
        <f>IF(Source!BI133=2,AJ221,0)</f>
        <v>0</v>
      </c>
    </row>
    <row r="222" spans="1:12" ht="12.7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</row>
    <row r="223" spans="3:61" ht="15">
      <c r="C223" s="144" t="s">
        <v>403</v>
      </c>
      <c r="D223" s="144"/>
      <c r="E223" s="144"/>
      <c r="F223" s="144"/>
      <c r="G223" s="144"/>
      <c r="H223" s="144"/>
      <c r="I223" s="144">
        <f>J221</f>
        <v>480.52</v>
      </c>
      <c r="J223" s="144"/>
      <c r="K223" s="144">
        <f>L221</f>
        <v>6362.04</v>
      </c>
      <c r="L223" s="144"/>
      <c r="O223" s="47">
        <f>I223</f>
        <v>480.52</v>
      </c>
      <c r="P223" s="47">
        <f>K223</f>
        <v>6362.04</v>
      </c>
      <c r="R223">
        <f>0</f>
        <v>0</v>
      </c>
      <c r="V223">
        <f>0</f>
        <v>0</v>
      </c>
      <c r="W223">
        <f>0</f>
        <v>0</v>
      </c>
      <c r="Y223">
        <f>0</f>
        <v>0</v>
      </c>
      <c r="AA223">
        <f>0</f>
        <v>0</v>
      </c>
      <c r="AC223">
        <f>0</f>
        <v>0</v>
      </c>
      <c r="AE223">
        <f>0</f>
        <v>0</v>
      </c>
      <c r="AF223">
        <f>0</f>
        <v>0</v>
      </c>
      <c r="AO223">
        <f>IF(Source!BI133&lt;=1,0,0)</f>
        <v>0</v>
      </c>
      <c r="AR223">
        <f>IF(Source!BI133&lt;=1,J221,0)</f>
        <v>480.52</v>
      </c>
      <c r="AY223">
        <f>IF(Source!BI133=2,0,0)</f>
        <v>0</v>
      </c>
      <c r="BB223">
        <f>IF(Source!BI133=2,J221,0)</f>
        <v>0</v>
      </c>
      <c r="BI223">
        <f>IF(Source!BI133=3,J221,0)</f>
        <v>0</v>
      </c>
    </row>
    <row r="224" spans="1:56" ht="85.5">
      <c r="A224" s="74">
        <v>12</v>
      </c>
      <c r="B224" s="74" t="s">
        <v>453</v>
      </c>
      <c r="C224" s="74" t="str">
        <f>Source!G135</f>
        <v>Перевозка грузов I класса автомобилями бортовыми грузоподъемностью до 15 т на расстояние: 50 км (Приказ от 06.11.2020 № МКЭ-ОД/20-68 прил. 2 по ЮЗАО - 50 км) Применительно</v>
      </c>
      <c r="D224" s="55" t="str">
        <f>Source!DW135</f>
        <v>1 Т ГРУЗА</v>
      </c>
      <c r="E224" s="56">
        <f>Source!K135</f>
        <v>11.18</v>
      </c>
      <c r="F224" s="56"/>
      <c r="G224" s="56">
        <f>Source!I135</f>
        <v>11.18</v>
      </c>
      <c r="H224" s="57">
        <f>Source!AK135</f>
        <v>23.67</v>
      </c>
      <c r="I224" s="58"/>
      <c r="J224" s="57">
        <f>ROUND(Source!AB135*Source!I135,2)</f>
        <v>264.63</v>
      </c>
      <c r="K224" s="58">
        <f>Source!AZ135</f>
        <v>13.24</v>
      </c>
      <c r="L224" s="57">
        <f>Source!GM135</f>
        <v>3503.71</v>
      </c>
      <c r="AG224">
        <f>ROUND((Source!AT135/100)*((ROUND(0*Source!I135,2)+ROUND(0*Source!I135,2))),2)</f>
        <v>0</v>
      </c>
      <c r="AH224">
        <f>Source!X135</f>
        <v>0</v>
      </c>
      <c r="AI224">
        <f>ROUND((Source!AU135/100)*((ROUND(0*Source!I135,2)+ROUND(0*Source!I135,2))),2)</f>
        <v>0</v>
      </c>
      <c r="AJ224">
        <f>Source!Y135</f>
        <v>0</v>
      </c>
      <c r="AS224">
        <f>IF(Source!BI135&lt;=1,AH224,0)</f>
        <v>0</v>
      </c>
      <c r="AT224">
        <f>IF(Source!BI135&lt;=1,AJ224,0)</f>
        <v>0</v>
      </c>
      <c r="BC224">
        <f>IF(Source!BI135=2,AH224,0)</f>
        <v>0</v>
      </c>
      <c r="BD224">
        <f>IF(Source!BI135=2,AJ224,0)</f>
        <v>0</v>
      </c>
    </row>
    <row r="225" spans="1:12" ht="12.7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</row>
    <row r="226" spans="3:61" ht="15">
      <c r="C226" s="144" t="s">
        <v>403</v>
      </c>
      <c r="D226" s="144"/>
      <c r="E226" s="144"/>
      <c r="F226" s="144"/>
      <c r="G226" s="144"/>
      <c r="H226" s="144"/>
      <c r="I226" s="144">
        <f>J224</f>
        <v>264.63</v>
      </c>
      <c r="J226" s="144"/>
      <c r="K226" s="144">
        <f>L224</f>
        <v>3503.71</v>
      </c>
      <c r="L226" s="144"/>
      <c r="O226" s="47">
        <f>I226</f>
        <v>264.63</v>
      </c>
      <c r="P226" s="47">
        <f>K226</f>
        <v>3503.71</v>
      </c>
      <c r="R226">
        <f>0</f>
        <v>0</v>
      </c>
      <c r="V226">
        <f>0</f>
        <v>0</v>
      </c>
      <c r="W226">
        <f>0</f>
        <v>0</v>
      </c>
      <c r="Y226">
        <f>0</f>
        <v>0</v>
      </c>
      <c r="AA226">
        <f>0</f>
        <v>0</v>
      </c>
      <c r="AC226">
        <f>0</f>
        <v>0</v>
      </c>
      <c r="AE226">
        <f>0</f>
        <v>0</v>
      </c>
      <c r="AF226">
        <f>0</f>
        <v>0</v>
      </c>
      <c r="AO226">
        <f>IF(Source!BI135&lt;=1,0,0)</f>
        <v>0</v>
      </c>
      <c r="AR226">
        <f>IF(Source!BI135&lt;=1,J224,0)</f>
        <v>264.63</v>
      </c>
      <c r="AY226">
        <f>IF(Source!BI135=2,0,0)</f>
        <v>0</v>
      </c>
      <c r="BB226">
        <f>IF(Source!BI135=2,J224,0)</f>
        <v>0</v>
      </c>
      <c r="BI226">
        <f>IF(Source!BI135=3,J224,0)</f>
        <v>0</v>
      </c>
    </row>
    <row r="228" spans="1:95" ht="15">
      <c r="A228" s="66"/>
      <c r="B228" s="67"/>
      <c r="C228" s="143" t="s">
        <v>412</v>
      </c>
      <c r="D228" s="143"/>
      <c r="E228" s="143"/>
      <c r="F228" s="143"/>
      <c r="G228" s="143"/>
      <c r="H228" s="143"/>
      <c r="I228" s="68"/>
      <c r="J228" s="69">
        <f>J230+J231+J232+J233</f>
        <v>873.72</v>
      </c>
      <c r="K228" s="69"/>
      <c r="L228" s="69">
        <f>L230+L231+L232+L233</f>
        <v>11954.99</v>
      </c>
      <c r="CQ228" s="78" t="s">
        <v>412</v>
      </c>
    </row>
    <row r="229" spans="1:12" ht="14.25">
      <c r="A229" s="70"/>
      <c r="B229" s="71"/>
      <c r="C229" s="142" t="s">
        <v>413</v>
      </c>
      <c r="D229" s="131"/>
      <c r="E229" s="131"/>
      <c r="F229" s="131"/>
      <c r="G229" s="131"/>
      <c r="H229" s="131"/>
      <c r="I229" s="72"/>
      <c r="J229" s="73"/>
      <c r="K229" s="73"/>
      <c r="L229" s="73"/>
    </row>
    <row r="230" spans="1:12" ht="14.25">
      <c r="A230" s="70"/>
      <c r="B230" s="71"/>
      <c r="C230" s="131" t="s">
        <v>414</v>
      </c>
      <c r="D230" s="131"/>
      <c r="E230" s="131"/>
      <c r="F230" s="131"/>
      <c r="G230" s="131"/>
      <c r="H230" s="131"/>
      <c r="I230" s="72"/>
      <c r="J230" s="73">
        <f>SUM(Q210:Q226)</f>
        <v>40.01</v>
      </c>
      <c r="K230" s="73"/>
      <c r="L230" s="73">
        <f>SUM(U210:U226)</f>
        <v>1494.12</v>
      </c>
    </row>
    <row r="231" spans="1:12" ht="13.5" customHeight="1" hidden="1">
      <c r="A231" s="70"/>
      <c r="B231" s="71"/>
      <c r="C231" s="131" t="s">
        <v>415</v>
      </c>
      <c r="D231" s="131"/>
      <c r="E231" s="131"/>
      <c r="F231" s="131"/>
      <c r="G231" s="131"/>
      <c r="H231" s="131"/>
      <c r="I231" s="72"/>
      <c r="J231" s="73">
        <f>SUM(AB210:AB226)</f>
        <v>0</v>
      </c>
      <c r="K231" s="73"/>
      <c r="L231" s="73">
        <f>SUM(AD210:AD226)</f>
        <v>0</v>
      </c>
    </row>
    <row r="232" spans="1:12" ht="14.25">
      <c r="A232" s="70"/>
      <c r="B232" s="71"/>
      <c r="C232" s="131" t="s">
        <v>416</v>
      </c>
      <c r="D232" s="131"/>
      <c r="E232" s="131"/>
      <c r="F232" s="131"/>
      <c r="G232" s="131"/>
      <c r="H232" s="131"/>
      <c r="I232" s="72"/>
      <c r="J232" s="73">
        <f>SUM(AF210:AF226)-J237</f>
        <v>88.56</v>
      </c>
      <c r="K232" s="73"/>
      <c r="L232" s="73">
        <f>Source!P140-L237</f>
        <v>595.12</v>
      </c>
    </row>
    <row r="233" spans="1:12" ht="14.25">
      <c r="A233" s="70"/>
      <c r="B233" s="71"/>
      <c r="C233" s="131" t="s">
        <v>417</v>
      </c>
      <c r="D233" s="131"/>
      <c r="E233" s="131"/>
      <c r="F233" s="131"/>
      <c r="G233" s="131"/>
      <c r="H233" s="131"/>
      <c r="I233" s="72"/>
      <c r="J233" s="73">
        <f>SUM(AR210:AR226)+SUM(BB210:BB226)+SUM(BI210:BI226)+SUM(BP210:BP226)</f>
        <v>745.15</v>
      </c>
      <c r="K233" s="73"/>
      <c r="L233" s="73">
        <f>Source!P162</f>
        <v>9865.75</v>
      </c>
    </row>
    <row r="234" spans="1:12" ht="14.25">
      <c r="A234" s="70"/>
      <c r="B234" s="71"/>
      <c r="C234" s="131" t="s">
        <v>418</v>
      </c>
      <c r="D234" s="131"/>
      <c r="E234" s="131"/>
      <c r="F234" s="131"/>
      <c r="G234" s="131"/>
      <c r="H234" s="131"/>
      <c r="I234" s="72"/>
      <c r="J234" s="73">
        <f>SUM(Q210:Q226)+SUM(X210:X226)</f>
        <v>40.01</v>
      </c>
      <c r="K234" s="73"/>
      <c r="L234" s="73">
        <f>SUM(U210:U226)+SUM(Z210:Z226)</f>
        <v>1494.12</v>
      </c>
    </row>
    <row r="235" spans="1:12" ht="14.25">
      <c r="A235" s="70"/>
      <c r="B235" s="71"/>
      <c r="C235" s="131" t="s">
        <v>419</v>
      </c>
      <c r="D235" s="131"/>
      <c r="E235" s="131"/>
      <c r="F235" s="131"/>
      <c r="G235" s="131"/>
      <c r="H235" s="131"/>
      <c r="I235" s="72"/>
      <c r="J235" s="73">
        <f>SUM(AG210:AG226)</f>
        <v>36.81</v>
      </c>
      <c r="K235" s="73"/>
      <c r="L235" s="73">
        <f>Source!P163</f>
        <v>1374.59</v>
      </c>
    </row>
    <row r="236" spans="1:12" ht="14.25">
      <c r="A236" s="70"/>
      <c r="B236" s="71"/>
      <c r="C236" s="131" t="s">
        <v>420</v>
      </c>
      <c r="D236" s="131"/>
      <c r="E236" s="131"/>
      <c r="F236" s="131"/>
      <c r="G236" s="131"/>
      <c r="H236" s="131"/>
      <c r="I236" s="72"/>
      <c r="J236" s="73">
        <f>SUM(AI210:AI226)</f>
        <v>17.6</v>
      </c>
      <c r="K236" s="73"/>
      <c r="L236" s="73">
        <f>Source!P164</f>
        <v>657.41</v>
      </c>
    </row>
    <row r="237" spans="1:12" ht="13.5" customHeight="1" hidden="1">
      <c r="A237" s="70"/>
      <c r="B237" s="71"/>
      <c r="C237" s="131" t="s">
        <v>421</v>
      </c>
      <c r="D237" s="131"/>
      <c r="E237" s="131"/>
      <c r="F237" s="131"/>
      <c r="G237" s="131"/>
      <c r="H237" s="131"/>
      <c r="I237" s="72"/>
      <c r="J237" s="73">
        <f>SUM(BH210:BH226)</f>
        <v>0</v>
      </c>
      <c r="K237" s="73"/>
      <c r="L237" s="73">
        <f>Source!P146</f>
        <v>0</v>
      </c>
    </row>
    <row r="238" spans="1:12" ht="13.5" customHeight="1" hidden="1">
      <c r="A238" s="70"/>
      <c r="B238" s="71"/>
      <c r="C238" s="131" t="s">
        <v>422</v>
      </c>
      <c r="D238" s="131"/>
      <c r="E238" s="131"/>
      <c r="F238" s="131"/>
      <c r="G238" s="131"/>
      <c r="H238" s="131"/>
      <c r="I238" s="72"/>
      <c r="J238" s="73">
        <f>SUM(BM210:BM226)+SUM(BN210:BN226)+SUM(BO210:BO226)+SUM(BP210:BP226)</f>
        <v>0</v>
      </c>
      <c r="K238" s="73"/>
      <c r="L238" s="73">
        <f>Source!P156</f>
        <v>0</v>
      </c>
    </row>
    <row r="239" spans="1:12" ht="15">
      <c r="A239" s="66"/>
      <c r="B239" s="67"/>
      <c r="C239" s="143" t="s">
        <v>423</v>
      </c>
      <c r="D239" s="143"/>
      <c r="E239" s="143"/>
      <c r="F239" s="143"/>
      <c r="G239" s="143"/>
      <c r="H239" s="143"/>
      <c r="I239" s="68"/>
      <c r="J239" s="69">
        <f>J228+J235+J236+J237</f>
        <v>928.13</v>
      </c>
      <c r="K239" s="69"/>
      <c r="L239" s="69">
        <f>Source!P165</f>
        <v>13986.99</v>
      </c>
    </row>
    <row r="240" spans="1:12" ht="13.5" customHeight="1" hidden="1">
      <c r="A240" s="70"/>
      <c r="B240" s="71"/>
      <c r="C240" s="142" t="s">
        <v>424</v>
      </c>
      <c r="D240" s="131"/>
      <c r="E240" s="131"/>
      <c r="F240" s="131"/>
      <c r="G240" s="131"/>
      <c r="H240" s="131"/>
      <c r="I240" s="72"/>
      <c r="J240" s="73"/>
      <c r="K240" s="73"/>
      <c r="L240" s="73"/>
    </row>
    <row r="241" spans="1:12" ht="13.5" customHeight="1" hidden="1">
      <c r="A241" s="70"/>
      <c r="B241" s="71"/>
      <c r="C241" s="131" t="s">
        <v>425</v>
      </c>
      <c r="D241" s="131"/>
      <c r="E241" s="131"/>
      <c r="F241" s="131"/>
      <c r="G241" s="131"/>
      <c r="H241" s="131"/>
      <c r="I241" s="72"/>
      <c r="J241" s="73"/>
      <c r="K241" s="73"/>
      <c r="L241" s="73">
        <f>SUM(BS210:BS226)</f>
        <v>0</v>
      </c>
    </row>
    <row r="242" spans="1:12" ht="13.5" customHeight="1" hidden="1">
      <c r="A242" s="70"/>
      <c r="B242" s="71"/>
      <c r="C242" s="131" t="s">
        <v>426</v>
      </c>
      <c r="D242" s="131"/>
      <c r="E242" s="131"/>
      <c r="F242" s="131"/>
      <c r="G242" s="131"/>
      <c r="H242" s="131"/>
      <c r="I242" s="72"/>
      <c r="J242" s="73"/>
      <c r="K242" s="73"/>
      <c r="L242" s="73">
        <f>SUM(BT210:BT226)</f>
        <v>0</v>
      </c>
    </row>
    <row r="244" spans="1:12" ht="15">
      <c r="A244" s="66"/>
      <c r="B244" s="67"/>
      <c r="C244" s="143" t="s">
        <v>454</v>
      </c>
      <c r="D244" s="143"/>
      <c r="E244" s="143"/>
      <c r="F244" s="143"/>
      <c r="G244" s="143"/>
      <c r="H244" s="143"/>
      <c r="I244" s="68"/>
      <c r="J244" s="69"/>
      <c r="K244" s="69"/>
      <c r="L244" s="69"/>
    </row>
    <row r="245" spans="1:12" ht="15">
      <c r="A245" s="66"/>
      <c r="B245" s="67"/>
      <c r="C245" s="143" t="s">
        <v>455</v>
      </c>
      <c r="D245" s="143"/>
      <c r="E245" s="143"/>
      <c r="F245" s="143"/>
      <c r="G245" s="143"/>
      <c r="H245" s="143"/>
      <c r="I245" s="68"/>
      <c r="J245" s="69">
        <f>J247+J248+J249+J250</f>
        <v>23722.240000000005</v>
      </c>
      <c r="K245" s="69"/>
      <c r="L245" s="69">
        <f>L247+L248+L249+L250</f>
        <v>210553.53999999998</v>
      </c>
    </row>
    <row r="246" spans="1:12" ht="14.25">
      <c r="A246" s="70"/>
      <c r="B246" s="71"/>
      <c r="C246" s="142" t="s">
        <v>413</v>
      </c>
      <c r="D246" s="131"/>
      <c r="E246" s="131"/>
      <c r="F246" s="131"/>
      <c r="G246" s="131"/>
      <c r="H246" s="131"/>
      <c r="I246" s="72"/>
      <c r="J246" s="73"/>
      <c r="K246" s="73"/>
      <c r="L246" s="73"/>
    </row>
    <row r="247" spans="1:12" ht="14.25">
      <c r="A247" s="70"/>
      <c r="B247" s="71"/>
      <c r="C247" s="131" t="s">
        <v>414</v>
      </c>
      <c r="D247" s="131"/>
      <c r="E247" s="131"/>
      <c r="F247" s="131"/>
      <c r="G247" s="131"/>
      <c r="H247" s="131"/>
      <c r="I247" s="72"/>
      <c r="J247" s="73">
        <f>SUM(Q47:Q242)</f>
        <v>1402.58</v>
      </c>
      <c r="K247" s="73"/>
      <c r="L247" s="73">
        <f>SUM(U47:U242)</f>
        <v>52372.04</v>
      </c>
    </row>
    <row r="248" spans="1:12" ht="14.25">
      <c r="A248" s="70"/>
      <c r="B248" s="71"/>
      <c r="C248" s="131" t="s">
        <v>415</v>
      </c>
      <c r="D248" s="131"/>
      <c r="E248" s="131"/>
      <c r="F248" s="131"/>
      <c r="G248" s="131"/>
      <c r="H248" s="131"/>
      <c r="I248" s="72"/>
      <c r="J248" s="73">
        <f>SUM(AB47:AB242)</f>
        <v>511.41999999999996</v>
      </c>
      <c r="K248" s="73"/>
      <c r="L248" s="73">
        <f>SUM(AD47:AD242)</f>
        <v>6771.909999999999</v>
      </c>
    </row>
    <row r="249" spans="1:12" ht="14.25">
      <c r="A249" s="70"/>
      <c r="B249" s="71"/>
      <c r="C249" s="131" t="s">
        <v>416</v>
      </c>
      <c r="D249" s="131"/>
      <c r="E249" s="131"/>
      <c r="F249" s="131"/>
      <c r="G249" s="131"/>
      <c r="H249" s="131"/>
      <c r="I249" s="72"/>
      <c r="J249" s="73">
        <f>SUM(AF47:AF242)-J254</f>
        <v>21063.090000000004</v>
      </c>
      <c r="K249" s="73"/>
      <c r="L249" s="73">
        <f>Source!P170-L254</f>
        <v>141543.84</v>
      </c>
    </row>
    <row r="250" spans="1:12" ht="14.25">
      <c r="A250" s="70"/>
      <c r="B250" s="71"/>
      <c r="C250" s="131" t="s">
        <v>417</v>
      </c>
      <c r="D250" s="131"/>
      <c r="E250" s="131"/>
      <c r="F250" s="131"/>
      <c r="G250" s="131"/>
      <c r="H250" s="131"/>
      <c r="I250" s="72"/>
      <c r="J250" s="73">
        <f>SUM(AR47:AR242)+SUM(BB47:BB242)+SUM(BI47:BI242)+SUM(BP47:BP242)</f>
        <v>745.15</v>
      </c>
      <c r="K250" s="73"/>
      <c r="L250" s="73">
        <f>Source!P192</f>
        <v>9865.75</v>
      </c>
    </row>
    <row r="251" spans="1:12" ht="14.25">
      <c r="A251" s="70"/>
      <c r="B251" s="71"/>
      <c r="C251" s="131" t="s">
        <v>456</v>
      </c>
      <c r="D251" s="131"/>
      <c r="E251" s="131"/>
      <c r="F251" s="131"/>
      <c r="G251" s="131"/>
      <c r="H251" s="131"/>
      <c r="I251" s="72"/>
      <c r="J251" s="73">
        <f>SUM(Q47:Q242)+SUM(X47:X242)</f>
        <v>1466.9199999999998</v>
      </c>
      <c r="K251" s="73"/>
      <c r="L251" s="73">
        <f>SUM(U47:U242)+SUM(Z47:Z242)</f>
        <v>54774.770000000004</v>
      </c>
    </row>
    <row r="252" spans="1:12" ht="14.25">
      <c r="A252" s="70"/>
      <c r="B252" s="71"/>
      <c r="C252" s="131" t="s">
        <v>457</v>
      </c>
      <c r="D252" s="131"/>
      <c r="E252" s="131"/>
      <c r="F252" s="131"/>
      <c r="G252" s="131"/>
      <c r="H252" s="131"/>
      <c r="I252" s="72"/>
      <c r="J252" s="73">
        <f>SUM(AG47:AG242)</f>
        <v>1451.6699999999998</v>
      </c>
      <c r="K252" s="73"/>
      <c r="L252" s="73">
        <f>Source!P193</f>
        <v>54205.13</v>
      </c>
    </row>
    <row r="253" spans="1:12" ht="14.25">
      <c r="A253" s="70"/>
      <c r="B253" s="71"/>
      <c r="C253" s="131" t="s">
        <v>458</v>
      </c>
      <c r="D253" s="131"/>
      <c r="E253" s="131"/>
      <c r="F253" s="131"/>
      <c r="G253" s="131"/>
      <c r="H253" s="131"/>
      <c r="I253" s="72"/>
      <c r="J253" s="73">
        <f>SUM(AI47:AI242)</f>
        <v>758.3500000000001</v>
      </c>
      <c r="K253" s="73"/>
      <c r="L253" s="73">
        <f>Source!P194</f>
        <v>28317.68</v>
      </c>
    </row>
    <row r="254" spans="1:12" ht="13.5" customHeight="1" hidden="1">
      <c r="A254" s="70"/>
      <c r="B254" s="71"/>
      <c r="C254" s="131" t="s">
        <v>459</v>
      </c>
      <c r="D254" s="131"/>
      <c r="E254" s="131"/>
      <c r="F254" s="131"/>
      <c r="G254" s="131"/>
      <c r="H254" s="131"/>
      <c r="I254" s="72"/>
      <c r="J254" s="73">
        <f>SUM(BH47:BH242)</f>
        <v>0</v>
      </c>
      <c r="K254" s="73"/>
      <c r="L254" s="73">
        <f>Source!P176</f>
        <v>0</v>
      </c>
    </row>
    <row r="255" spans="1:12" ht="13.5" customHeight="1" hidden="1">
      <c r="A255" s="70"/>
      <c r="B255" s="71"/>
      <c r="C255" s="131" t="s">
        <v>460</v>
      </c>
      <c r="D255" s="131"/>
      <c r="E255" s="131"/>
      <c r="F255" s="131"/>
      <c r="G255" s="131"/>
      <c r="H255" s="131"/>
      <c r="I255" s="72"/>
      <c r="J255" s="73">
        <f>SUM(BM47:BM242)+SUM(BN47:BN242)+SUM(BO47:BO242)+SUM(BP47:BP242)</f>
        <v>0</v>
      </c>
      <c r="K255" s="73"/>
      <c r="L255" s="73">
        <f>Source!P186</f>
        <v>0</v>
      </c>
    </row>
    <row r="256" spans="1:12" s="11" customFormat="1" ht="14.25">
      <c r="A256" s="70"/>
      <c r="B256" s="71"/>
      <c r="C256" s="131" t="s">
        <v>454</v>
      </c>
      <c r="D256" s="131"/>
      <c r="E256" s="131"/>
      <c r="F256" s="131"/>
      <c r="G256" s="131"/>
      <c r="H256" s="131"/>
      <c r="I256" s="72"/>
      <c r="J256" s="73">
        <f>J245+J252+J253+J254</f>
        <v>25932.260000000002</v>
      </c>
      <c r="K256" s="73"/>
      <c r="L256" s="73">
        <f>Source!P195</f>
        <v>293076.35</v>
      </c>
    </row>
    <row r="257" spans="1:12" ht="13.5" customHeight="1" hidden="1">
      <c r="A257" s="70"/>
      <c r="B257" s="71"/>
      <c r="C257" s="142" t="s">
        <v>413</v>
      </c>
      <c r="D257" s="131"/>
      <c r="E257" s="131"/>
      <c r="F257" s="131"/>
      <c r="G257" s="131"/>
      <c r="H257" s="131"/>
      <c r="I257" s="72"/>
      <c r="J257" s="73"/>
      <c r="K257" s="73"/>
      <c r="L257" s="73"/>
    </row>
    <row r="258" spans="1:12" ht="13.5" customHeight="1" hidden="1">
      <c r="A258" s="70"/>
      <c r="B258" s="71"/>
      <c r="C258" s="131" t="s">
        <v>425</v>
      </c>
      <c r="D258" s="131"/>
      <c r="E258" s="131"/>
      <c r="F258" s="131"/>
      <c r="G258" s="131"/>
      <c r="H258" s="131"/>
      <c r="I258" s="72"/>
      <c r="J258" s="73"/>
      <c r="K258" s="73"/>
      <c r="L258" s="73">
        <f>SUM(BS47:BS242)</f>
        <v>0</v>
      </c>
    </row>
    <row r="259" spans="1:12" ht="13.5" customHeight="1" hidden="1">
      <c r="A259" s="70"/>
      <c r="B259" s="71"/>
      <c r="C259" s="131" t="s">
        <v>426</v>
      </c>
      <c r="D259" s="131"/>
      <c r="E259" s="131"/>
      <c r="F259" s="131"/>
      <c r="G259" s="131"/>
      <c r="H259" s="131"/>
      <c r="I259" s="72"/>
      <c r="J259" s="73"/>
      <c r="K259" s="73"/>
      <c r="L259" s="73">
        <f>SUM(BT47:BT242)</f>
        <v>0</v>
      </c>
    </row>
    <row r="260" spans="3:12" ht="14.25">
      <c r="C260" s="128" t="str">
        <f>Source!H196</f>
        <v>НДС 20%</v>
      </c>
      <c r="D260" s="128"/>
      <c r="E260" s="128"/>
      <c r="F260" s="128"/>
      <c r="G260" s="128"/>
      <c r="H260" s="128"/>
      <c r="I260" s="128"/>
      <c r="J260" s="128"/>
      <c r="K260" s="128"/>
      <c r="L260" s="57">
        <f>IF(Source!AB196=0,"",Source!AB196)</f>
        <v>58615.27</v>
      </c>
    </row>
    <row r="261" spans="3:12" s="30" customFormat="1" ht="15">
      <c r="C261" s="129" t="str">
        <f>Source!H197</f>
        <v>ВСЕГО ПО СМЕТЕ</v>
      </c>
      <c r="D261" s="129"/>
      <c r="E261" s="129"/>
      <c r="F261" s="129"/>
      <c r="G261" s="129"/>
      <c r="H261" s="129"/>
      <c r="I261" s="129"/>
      <c r="J261" s="129"/>
      <c r="K261" s="129"/>
      <c r="L261" s="65">
        <f>IF(Source!AB197=0,"",Source!AB197)</f>
        <v>351691.62</v>
      </c>
    </row>
    <row r="264" spans="1:11" ht="14.25">
      <c r="A264" s="130" t="s">
        <v>461</v>
      </c>
      <c r="B264" s="130"/>
      <c r="C264" s="46" t="str">
        <f>IF(Source!AC12&lt;&gt;"",Source!AC12," ")</f>
        <v>Ведущий инженер РЕСО</v>
      </c>
      <c r="D264" s="46"/>
      <c r="E264" s="46"/>
      <c r="F264" s="46"/>
      <c r="G264" s="46"/>
      <c r="H264" s="117" t="str">
        <f>IF(Source!AB12&lt;&gt;"",Source!AB12," ")</f>
        <v>Степанова А.М.</v>
      </c>
      <c r="I264" s="117"/>
      <c r="J264" s="117"/>
      <c r="K264" s="117"/>
    </row>
    <row r="265" spans="1:11" ht="14.25">
      <c r="A265" s="14"/>
      <c r="B265" s="14"/>
      <c r="C265" s="141" t="s">
        <v>462</v>
      </c>
      <c r="D265" s="141"/>
      <c r="E265" s="141"/>
      <c r="F265" s="141"/>
      <c r="G265" s="141"/>
      <c r="H265" s="14"/>
      <c r="I265" s="14"/>
      <c r="J265" s="14"/>
      <c r="K265" s="14"/>
    </row>
    <row r="266" spans="1:11" ht="14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</row>
    <row r="267" spans="1:11" ht="14.25">
      <c r="A267" s="130" t="s">
        <v>463</v>
      </c>
      <c r="B267" s="130"/>
      <c r="C267" s="46" t="str">
        <f>IF(Source!AE12&lt;&gt;"",Source!AE12," ")</f>
        <v>Заведующий РЕСО</v>
      </c>
      <c r="D267" s="46"/>
      <c r="E267" s="46"/>
      <c r="F267" s="46"/>
      <c r="G267" s="46"/>
      <c r="H267" s="117" t="str">
        <f>IF(Source!AD12&lt;&gt;"",Source!AD12," ")</f>
        <v>Покшин В.И.</v>
      </c>
      <c r="I267" s="117"/>
      <c r="J267" s="117"/>
      <c r="K267" s="117"/>
    </row>
    <row r="268" spans="1:11" ht="14.25">
      <c r="A268" s="14"/>
      <c r="B268" s="14"/>
      <c r="C268" s="141" t="s">
        <v>462</v>
      </c>
      <c r="D268" s="141"/>
      <c r="E268" s="141"/>
      <c r="F268" s="141"/>
      <c r="G268" s="141"/>
      <c r="H268" s="14"/>
      <c r="I268" s="14"/>
      <c r="J268" s="14"/>
      <c r="K268" s="14"/>
    </row>
  </sheetData>
  <sheetProtection/>
  <mergeCells count="140">
    <mergeCell ref="C242:H242"/>
    <mergeCell ref="C241:H241"/>
    <mergeCell ref="C240:H240"/>
    <mergeCell ref="C239:H239"/>
    <mergeCell ref="C259:H259"/>
    <mergeCell ref="C258:H258"/>
    <mergeCell ref="C257:H257"/>
    <mergeCell ref="C256:H256"/>
    <mergeCell ref="C249:H249"/>
    <mergeCell ref="C248:H248"/>
    <mergeCell ref="C247:H247"/>
    <mergeCell ref="C246:H246"/>
    <mergeCell ref="C245:H245"/>
    <mergeCell ref="C244:H244"/>
    <mergeCell ref="C255:H255"/>
    <mergeCell ref="C254:H254"/>
    <mergeCell ref="C253:H253"/>
    <mergeCell ref="C252:H252"/>
    <mergeCell ref="C251:H251"/>
    <mergeCell ref="C250:H250"/>
    <mergeCell ref="K226:L226"/>
    <mergeCell ref="I226:J226"/>
    <mergeCell ref="C226:H226"/>
    <mergeCell ref="K223:L223"/>
    <mergeCell ref="I223:J223"/>
    <mergeCell ref="C223:H223"/>
    <mergeCell ref="C233:H233"/>
    <mergeCell ref="C232:H232"/>
    <mergeCell ref="C231:H231"/>
    <mergeCell ref="C230:H230"/>
    <mergeCell ref="C229:H229"/>
    <mergeCell ref="C228:H228"/>
    <mergeCell ref="C238:H238"/>
    <mergeCell ref="C237:H237"/>
    <mergeCell ref="C236:H236"/>
    <mergeCell ref="C235:H235"/>
    <mergeCell ref="C234:H234"/>
    <mergeCell ref="C205:H205"/>
    <mergeCell ref="C204:H204"/>
    <mergeCell ref="C203:H203"/>
    <mergeCell ref="C202:H202"/>
    <mergeCell ref="C132:H132"/>
    <mergeCell ref="I220:J220"/>
    <mergeCell ref="C220:H220"/>
    <mergeCell ref="A210:L210"/>
    <mergeCell ref="C208:H208"/>
    <mergeCell ref="C207:H207"/>
    <mergeCell ref="C206:H206"/>
    <mergeCell ref="K220:L220"/>
    <mergeCell ref="K118:L118"/>
    <mergeCell ref="I118:J118"/>
    <mergeCell ref="C118:H118"/>
    <mergeCell ref="C199:H199"/>
    <mergeCell ref="C198:H198"/>
    <mergeCell ref="C197:H197"/>
    <mergeCell ref="C196:H196"/>
    <mergeCell ref="C195:H195"/>
    <mergeCell ref="C201:H201"/>
    <mergeCell ref="C200:H200"/>
    <mergeCell ref="K72:L72"/>
    <mergeCell ref="I72:J72"/>
    <mergeCell ref="C72:H72"/>
    <mergeCell ref="C93:H93"/>
    <mergeCell ref="C92:H92"/>
    <mergeCell ref="C91:H91"/>
    <mergeCell ref="C90:H90"/>
    <mergeCell ref="C89:H89"/>
    <mergeCell ref="C88:H88"/>
    <mergeCell ref="C265:G265"/>
    <mergeCell ref="A267:B267"/>
    <mergeCell ref="H267:K267"/>
    <mergeCell ref="C268:G268"/>
    <mergeCell ref="C99:H99"/>
    <mergeCell ref="C98:H98"/>
    <mergeCell ref="C176:H176"/>
    <mergeCell ref="K160:L160"/>
    <mergeCell ref="I160:J160"/>
    <mergeCell ref="C160:H160"/>
    <mergeCell ref="C194:H194"/>
    <mergeCell ref="K192:L192"/>
    <mergeCell ref="I192:J192"/>
    <mergeCell ref="C192:H192"/>
    <mergeCell ref="K176:L176"/>
    <mergeCell ref="I176:J176"/>
    <mergeCell ref="A103:L103"/>
    <mergeCell ref="C101:H101"/>
    <mergeCell ref="C100:H100"/>
    <mergeCell ref="K146:L146"/>
    <mergeCell ref="I146:J146"/>
    <mergeCell ref="C146:H146"/>
    <mergeCell ref="K132:L132"/>
    <mergeCell ref="I132:J132"/>
    <mergeCell ref="K42:K45"/>
    <mergeCell ref="L42:L45"/>
    <mergeCell ref="C260:K260"/>
    <mergeCell ref="C261:K261"/>
    <mergeCell ref="A264:B264"/>
    <mergeCell ref="H264:K264"/>
    <mergeCell ref="C97:H97"/>
    <mergeCell ref="C96:H96"/>
    <mergeCell ref="C95:H95"/>
    <mergeCell ref="C94:H94"/>
    <mergeCell ref="A42:A45"/>
    <mergeCell ref="B42:B45"/>
    <mergeCell ref="C42:C45"/>
    <mergeCell ref="D42:D45"/>
    <mergeCell ref="E42:G44"/>
    <mergeCell ref="H42:J44"/>
    <mergeCell ref="K59:L59"/>
    <mergeCell ref="I59:J59"/>
    <mergeCell ref="C59:H59"/>
    <mergeCell ref="A48:L48"/>
    <mergeCell ref="C87:H87"/>
    <mergeCell ref="K85:L85"/>
    <mergeCell ref="I85:J85"/>
    <mergeCell ref="C85:H85"/>
    <mergeCell ref="C30:G30"/>
    <mergeCell ref="D34:E34"/>
    <mergeCell ref="D37:E37"/>
    <mergeCell ref="D38:E38"/>
    <mergeCell ref="D39:E39"/>
    <mergeCell ref="D40:E40"/>
    <mergeCell ref="B18:K18"/>
    <mergeCell ref="B19:K19"/>
    <mergeCell ref="B21:K21"/>
    <mergeCell ref="B23:K23"/>
    <mergeCell ref="B24:K24"/>
    <mergeCell ref="C29:G29"/>
    <mergeCell ref="B7:E7"/>
    <mergeCell ref="H7:L7"/>
    <mergeCell ref="A10:L10"/>
    <mergeCell ref="A12:K12"/>
    <mergeCell ref="B15:K15"/>
    <mergeCell ref="B16:K16"/>
    <mergeCell ref="B3:E3"/>
    <mergeCell ref="H3:L3"/>
    <mergeCell ref="B4:E4"/>
    <mergeCell ref="H4:L4"/>
    <mergeCell ref="B6:E6"/>
    <mergeCell ref="H6:L6"/>
  </mergeCells>
  <printOptions/>
  <pageMargins left="0.4" right="0.2" top="0.2" bottom="0.4" header="0.2" footer="0.2"/>
  <pageSetup fitToHeight="0" fitToWidth="1" horizontalDpi="600" verticalDpi="600" orientation="portrait" paperSize="9" scale="5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75.7109375" style="0" customWidth="1"/>
    <col min="4" max="8" width="15.7109375" style="0" customWidth="1"/>
    <col min="30" max="32" width="0" style="0" hidden="1" customWidth="1"/>
  </cols>
  <sheetData>
    <row r="1" ht="12.75">
      <c r="A1" s="12" t="str">
        <f>Source!B1</f>
        <v>Smeta.RU  (495) 974-1589</v>
      </c>
    </row>
    <row r="2" spans="4:5" ht="14.25">
      <c r="D2" s="14"/>
      <c r="E2" s="14"/>
    </row>
    <row r="3" spans="4:5" ht="15">
      <c r="D3" s="14"/>
      <c r="E3" s="64" t="s">
        <v>352</v>
      </c>
    </row>
    <row r="4" spans="4:5" ht="15">
      <c r="D4" s="64"/>
      <c r="E4" s="64"/>
    </row>
    <row r="5" spans="4:5" ht="15">
      <c r="D5" s="147" t="s">
        <v>464</v>
      </c>
      <c r="E5" s="147"/>
    </row>
    <row r="6" spans="4:5" ht="15">
      <c r="D6" s="79"/>
      <c r="E6" s="79"/>
    </row>
    <row r="7" spans="4:5" ht="15">
      <c r="D7" s="147" t="s">
        <v>464</v>
      </c>
      <c r="E7" s="147"/>
    </row>
    <row r="8" spans="4:5" ht="15">
      <c r="D8" s="79"/>
      <c r="E8" s="79"/>
    </row>
    <row r="9" spans="4:5" ht="15">
      <c r="D9" s="64" t="s">
        <v>465</v>
      </c>
      <c r="E9" s="14"/>
    </row>
    <row r="10" spans="4:5" ht="14.25">
      <c r="D10" s="14"/>
      <c r="E10" s="14"/>
    </row>
    <row r="12" spans="2:5" ht="15.75">
      <c r="B12" s="148" t="str">
        <f>CONCATENATE("Ведомость объемов работ ",IF(Source!AN15&lt;&gt;"",Source!AN15," "))</f>
        <v>Ведомость объемов работ  </v>
      </c>
      <c r="C12" s="148"/>
      <c r="D12" s="148"/>
      <c r="E12" s="148"/>
    </row>
    <row r="13" spans="2:5" ht="15">
      <c r="B13" s="149" t="str">
        <f>CONCATENATE(Source!F12," ",Source!G12)</f>
        <v> Выполнение работ по текущему ремонту кровли ИПУ РАН строения 4</v>
      </c>
      <c r="C13" s="149"/>
      <c r="D13" s="149"/>
      <c r="E13" s="149"/>
    </row>
    <row r="14" ht="12.75" hidden="1"/>
    <row r="16" spans="1:8" ht="99.75">
      <c r="A16" s="81" t="s">
        <v>376</v>
      </c>
      <c r="B16" s="81" t="s">
        <v>466</v>
      </c>
      <c r="C16" s="81" t="s">
        <v>378</v>
      </c>
      <c r="D16" s="81" t="s">
        <v>379</v>
      </c>
      <c r="E16" s="81" t="s">
        <v>380</v>
      </c>
      <c r="F16" s="81" t="s">
        <v>467</v>
      </c>
      <c r="G16" s="81" t="s">
        <v>468</v>
      </c>
      <c r="H16" s="81" t="s">
        <v>469</v>
      </c>
    </row>
    <row r="17" spans="1:8" ht="14.25">
      <c r="A17" s="81">
        <v>1</v>
      </c>
      <c r="B17" s="81">
        <v>2</v>
      </c>
      <c r="C17" s="81">
        <v>3</v>
      </c>
      <c r="D17" s="81">
        <v>4</v>
      </c>
      <c r="E17" s="81">
        <v>5</v>
      </c>
      <c r="F17" s="81">
        <v>6</v>
      </c>
      <c r="G17" s="81">
        <v>7</v>
      </c>
      <c r="H17" s="81">
        <v>8</v>
      </c>
    </row>
    <row r="18" spans="1:8" ht="16.5">
      <c r="A18" s="146" t="str">
        <f>CONCATENATE("Локальная смета: ",Source!G20)</f>
        <v>Локальная смета: </v>
      </c>
      <c r="B18" s="146"/>
      <c r="C18" s="146"/>
      <c r="D18" s="146"/>
      <c r="E18" s="146"/>
      <c r="F18" s="146"/>
      <c r="G18" s="146"/>
      <c r="H18" s="146"/>
    </row>
    <row r="19" spans="1:8" ht="16.5">
      <c r="A19" s="146" t="str">
        <f>CONCATENATE("Раздел: ",Source!G24)</f>
        <v>Раздел: Демонтажные работы</v>
      </c>
      <c r="B19" s="146"/>
      <c r="C19" s="146"/>
      <c r="D19" s="146"/>
      <c r="E19" s="146"/>
      <c r="F19" s="146"/>
      <c r="G19" s="146"/>
      <c r="H19" s="146"/>
    </row>
    <row r="20" spans="1:8" ht="14.25">
      <c r="A20" s="81">
        <v>1</v>
      </c>
      <c r="B20" s="81" t="str">
        <f>Source!E28</f>
        <v>1</v>
      </c>
      <c r="C20" s="84" t="str">
        <f>Source!G28</f>
        <v>Разборка покрытий кровель: из рулонных материалов</v>
      </c>
      <c r="D20" s="81" t="s">
        <v>24</v>
      </c>
      <c r="E20" s="85">
        <f>Source!I28</f>
        <v>2.34</v>
      </c>
      <c r="F20" s="81">
        <f>Source!U24</f>
      </c>
      <c r="G20" s="81" t="str">
        <f>"=234/"&amp;"100"</f>
        <v>=234/100</v>
      </c>
      <c r="H20" s="84"/>
    </row>
    <row r="21" spans="1:8" ht="14.25">
      <c r="A21" s="81">
        <v>2</v>
      </c>
      <c r="B21" s="81" t="str">
        <f>Source!E30</f>
        <v>2</v>
      </c>
      <c r="C21" s="84" t="str">
        <f>Source!G30</f>
        <v>Разборка стяжек: цементных толщиной 20 мм (Применительно)</v>
      </c>
      <c r="D21" s="81" t="s">
        <v>24</v>
      </c>
      <c r="E21" s="85">
        <f>Source!I30</f>
        <v>0.97</v>
      </c>
      <c r="F21" s="81">
        <f>Source!U24</f>
      </c>
      <c r="G21" s="81" t="str">
        <f>"=97/"&amp;"100"</f>
        <v>=97/100</v>
      </c>
      <c r="H21" s="84"/>
    </row>
    <row r="22" spans="1:8" ht="42.75">
      <c r="A22" s="81">
        <v>3</v>
      </c>
      <c r="B22" s="81" t="str">
        <f>Source!E34</f>
        <v>3</v>
      </c>
      <c r="C22" s="84" t="str">
        <f>Source!G34</f>
        <v>Разборка стяжек: на каждые 5 мм изменения толщины стяжки добавлять или исключать к расценке 11-01-011-03 (К=2, добавить 10 мм, разборка 30 мм стяжки) Применительно</v>
      </c>
      <c r="D22" s="81" t="s">
        <v>24</v>
      </c>
      <c r="E22" s="85">
        <f>Source!I34</f>
        <v>0.97</v>
      </c>
      <c r="F22" s="81">
        <f>Source!U24</f>
      </c>
      <c r="G22" s="81" t="str">
        <f>"=97/"&amp;"100"</f>
        <v>=97/100</v>
      </c>
      <c r="H22" s="84"/>
    </row>
    <row r="23" spans="1:8" ht="16.5">
      <c r="A23" s="146" t="str">
        <f>CONCATENATE("Раздел: ",Source!G67)</f>
        <v>Раздел: Монтажные работы</v>
      </c>
      <c r="B23" s="146"/>
      <c r="C23" s="146"/>
      <c r="D23" s="146"/>
      <c r="E23" s="146"/>
      <c r="F23" s="146"/>
      <c r="G23" s="146"/>
      <c r="H23" s="146"/>
    </row>
    <row r="24" spans="1:8" ht="14.25">
      <c r="A24" s="81">
        <v>4</v>
      </c>
      <c r="B24" s="81" t="str">
        <f>Source!E71</f>
        <v>4</v>
      </c>
      <c r="C24" s="84" t="str">
        <f>Source!G71</f>
        <v>Устройство выравнивающих стяжек: цементно-песчаных толщиной 15 мм</v>
      </c>
      <c r="D24" s="81" t="s">
        <v>24</v>
      </c>
      <c r="E24" s="85">
        <f>Source!I71</f>
        <v>0.97</v>
      </c>
      <c r="F24" s="81">
        <f>Source!U67</f>
      </c>
      <c r="G24" s="81" t="str">
        <f>"=97/"&amp;"100"</f>
        <v>=97/100</v>
      </c>
      <c r="H24" s="84"/>
    </row>
    <row r="25" spans="1:8" ht="14.25">
      <c r="A25" s="81">
        <v>4.1</v>
      </c>
      <c r="B25" s="81" t="str">
        <f>Source!E73</f>
        <v>4,1</v>
      </c>
      <c r="C25" s="84" t="str">
        <f>Source!G73</f>
        <v>Смеси сухие цементные (пескобетон), класс B22,5 (M300)</v>
      </c>
      <c r="D25" s="81" t="s">
        <v>129</v>
      </c>
      <c r="E25" s="85">
        <f>Source!I73</f>
        <v>2.626727</v>
      </c>
      <c r="F25" s="81">
        <f>Source!U67</f>
      </c>
      <c r="G25" s="81"/>
      <c r="H25" s="84"/>
    </row>
    <row r="26" spans="1:8" ht="28.5">
      <c r="A26" s="81">
        <v>5</v>
      </c>
      <c r="B26" s="81" t="str">
        <f>Source!E75</f>
        <v>5</v>
      </c>
      <c r="C26" s="84" t="str">
        <f>Source!G75</f>
        <v>Устройство выравнивающих стяжек: на каждый 1 мм изменения толщины добавлять или исключать к расценке 12-01-017-01 (К=15, до 30 мм)</v>
      </c>
      <c r="D26" s="81" t="s">
        <v>24</v>
      </c>
      <c r="E26" s="85">
        <f>Source!I75</f>
        <v>0.97</v>
      </c>
      <c r="F26" s="81">
        <f>Source!U67</f>
      </c>
      <c r="G26" s="81" t="str">
        <f>"=97/"&amp;"100"</f>
        <v>=97/100</v>
      </c>
      <c r="H26" s="84"/>
    </row>
    <row r="27" spans="1:8" ht="14.25">
      <c r="A27" s="81">
        <v>5.1</v>
      </c>
      <c r="B27" s="81" t="str">
        <f>Source!E77</f>
        <v>5,1</v>
      </c>
      <c r="C27" s="84" t="str">
        <f>Source!G77</f>
        <v>Смеси сухие цементные (пескобетон), класс B22,5 (M300)</v>
      </c>
      <c r="D27" s="81" t="s">
        <v>129</v>
      </c>
      <c r="E27" s="85">
        <f>Source!I77</f>
        <v>2.626464</v>
      </c>
      <c r="F27" s="81">
        <f>Source!U67</f>
      </c>
      <c r="G27" s="81"/>
      <c r="H27" s="84"/>
    </row>
    <row r="28" spans="1:8" ht="28.5">
      <c r="A28" s="81">
        <v>6</v>
      </c>
      <c r="B28" s="81" t="str">
        <f>Source!E79</f>
        <v>6</v>
      </c>
      <c r="C28" s="84" t="str">
        <f>Source!G79</f>
        <v>Огрунтовка оснований из бетона или раствора под водоизоляционный кровельный ковер: готовой эмульсией битумной</v>
      </c>
      <c r="D28" s="81" t="s">
        <v>24</v>
      </c>
      <c r="E28" s="85">
        <f>Source!I79</f>
        <v>2.34</v>
      </c>
      <c r="F28" s="81">
        <f>Source!U67</f>
      </c>
      <c r="G28" s="81" t="str">
        <f>"=234/"&amp;"100"</f>
        <v>=234/100</v>
      </c>
      <c r="H28" s="84"/>
    </row>
    <row r="29" spans="1:8" ht="28.5">
      <c r="A29" s="81">
        <v>7</v>
      </c>
      <c r="B29" s="81" t="str">
        <f>Source!E81</f>
        <v>7</v>
      </c>
      <c r="C29" s="84" t="str">
        <f>Source!G81</f>
        <v>Устройство мелких покрытий (брандмауэры, парапеты, свесы и т.п.) из листовой оцинкованной стали</v>
      </c>
      <c r="D29" s="81" t="s">
        <v>24</v>
      </c>
      <c r="E29" s="85">
        <f>Source!I81</f>
        <v>0.03</v>
      </c>
      <c r="F29" s="81">
        <f>Source!U67</f>
      </c>
      <c r="G29" s="81" t="str">
        <f>"=3/"&amp;"100"</f>
        <v>=3/100</v>
      </c>
      <c r="H29" s="84"/>
    </row>
    <row r="30" spans="1:8" ht="14.25">
      <c r="A30" s="81">
        <v>8</v>
      </c>
      <c r="B30" s="81" t="str">
        <f>Source!E83</f>
        <v>8</v>
      </c>
      <c r="C30" s="84" t="str">
        <f>Source!G83</f>
        <v>Устройство кровель плоских из наплавляемых материалов в два слоя</v>
      </c>
      <c r="D30" s="81" t="s">
        <v>24</v>
      </c>
      <c r="E30" s="85">
        <f>Source!I83</f>
        <v>2.34</v>
      </c>
      <c r="F30" s="81">
        <f>Source!U67</f>
      </c>
      <c r="G30" s="81" t="str">
        <f>"=234/"&amp;"100"</f>
        <v>=234/100</v>
      </c>
      <c r="H30" s="84"/>
    </row>
    <row r="31" spans="1:8" ht="57">
      <c r="A31" s="81">
        <v>8.1</v>
      </c>
      <c r="B31" s="81" t="str">
        <f>Source!E85</f>
        <v>8,1</v>
      </c>
      <c r="C31" s="84" t="str">
        <f>Source!G85</f>
        <v>Материал рулонный битумно-полимерный кровельный и гидроизоляционный ТПП/ЭПП/ХПП, для нижнего слоя кровли, основа-стеклоткань/полиэстер/стеклохолст, гибкость не выше -25 °C, масса 1 м2 от 3,5 до 4,0 кг, прочность 390-590 Н, теплостойкость не менее 100 °C</v>
      </c>
      <c r="D31" s="81" t="s">
        <v>154</v>
      </c>
      <c r="E31" s="85">
        <f>Source!I85</f>
        <v>271.44</v>
      </c>
      <c r="F31" s="81">
        <f>Source!U67</f>
      </c>
      <c r="G31" s="81"/>
      <c r="H31" s="84"/>
    </row>
    <row r="32" spans="1:8" ht="57">
      <c r="A32" s="81">
        <v>8.2</v>
      </c>
      <c r="B32" s="81" t="str">
        <f>Source!E87</f>
        <v>8,2</v>
      </c>
      <c r="C32" s="84" t="str">
        <f>Source!G87</f>
        <v>Материал рулонный битумно-полимерный кровельный и гидроизоляционный ТКП/ЭКП/ХКП, для верхнего слоя кровли, основа-стеклоткань/полиэстер/стеклохолст, гибкость не выше -25 °C, масса 1 м2 4,5 кг, прочность 390-590 Н, теплостойкость не менее 100 °C</v>
      </c>
      <c r="D32" s="81" t="s">
        <v>154</v>
      </c>
      <c r="E32" s="85">
        <f>Source!I87</f>
        <v>266.76</v>
      </c>
      <c r="F32" s="81">
        <f>Source!U67</f>
      </c>
      <c r="G32" s="81"/>
      <c r="H32" s="84"/>
    </row>
    <row r="33" spans="1:8" ht="28.5">
      <c r="A33" s="81">
        <v>9</v>
      </c>
      <c r="B33" s="81" t="str">
        <f>Source!E89</f>
        <v>9</v>
      </c>
      <c r="C33" s="84" t="str">
        <f>Source!G89</f>
        <v>Устройство примыканий кровель из наплавляемых материалов к стенам и парапетам высотой: до 600 мм без фартуков</v>
      </c>
      <c r="D33" s="81" t="s">
        <v>163</v>
      </c>
      <c r="E33" s="85">
        <f>Source!I89</f>
        <v>0.104</v>
      </c>
      <c r="F33" s="81">
        <f>Source!U67</f>
      </c>
      <c r="G33" s="81" t="str">
        <f>"=10,4/"&amp;"100"</f>
        <v>=10,4/100</v>
      </c>
      <c r="H33" s="84"/>
    </row>
    <row r="34" spans="1:8" ht="57">
      <c r="A34" s="81">
        <v>9.1</v>
      </c>
      <c r="B34" s="81" t="str">
        <f>Source!E91</f>
        <v>9,1</v>
      </c>
      <c r="C34" s="84" t="str">
        <f>Source!G91</f>
        <v>Материал рулонный битумно-полимерный кровельный и гидроизоляционный ТПП/ЭПП/ХПП, для нижнего слоя кровли, основа-стеклоткань/полиэстер/стеклохолст, гибкость не выше -25 °C, масса 1 м2 от 3,5 до 4,0 кг, прочность 390-590 Н, теплостойкость не менее 100 °C</v>
      </c>
      <c r="D34" s="81" t="s">
        <v>154</v>
      </c>
      <c r="E34" s="85">
        <f>Source!I91</f>
        <v>12.064</v>
      </c>
      <c r="F34" s="81">
        <f>Source!U67</f>
      </c>
      <c r="G34" s="81"/>
      <c r="H34" s="84"/>
    </row>
    <row r="35" spans="1:8" ht="57">
      <c r="A35" s="81">
        <v>9.2</v>
      </c>
      <c r="B35" s="81" t="str">
        <f>Source!E93</f>
        <v>9,2</v>
      </c>
      <c r="C35" s="84" t="str">
        <f>Source!G93</f>
        <v>Материал рулонный битумно-полимерный кровельный и гидроизоляционный ТКП/ЭКП/ХКП, для верхнего слоя кровли, основа-стеклоткань/полиэстер/стеклохолст, гибкость не выше -25 °C, масса 1 м2 4,5 кг, прочность 390-590 Н, теплостойкость не менее 100 °C</v>
      </c>
      <c r="D35" s="81" t="s">
        <v>154</v>
      </c>
      <c r="E35" s="85">
        <f>Source!I93</f>
        <v>11.856</v>
      </c>
      <c r="F35" s="81">
        <f>Source!U67</f>
      </c>
      <c r="G35" s="81"/>
      <c r="H35" s="84"/>
    </row>
    <row r="36" spans="1:8" ht="16.5">
      <c r="A36" s="146" t="str">
        <f>CONCATENATE("Раздел: ",Source!G126)</f>
        <v>Раздел: Разные работы</v>
      </c>
      <c r="B36" s="146"/>
      <c r="C36" s="146"/>
      <c r="D36" s="146"/>
      <c r="E36" s="146"/>
      <c r="F36" s="146"/>
      <c r="G36" s="146"/>
      <c r="H36" s="146"/>
    </row>
    <row r="37" spans="1:8" ht="14.25">
      <c r="A37" s="81">
        <v>10</v>
      </c>
      <c r="B37" s="81" t="str">
        <f>Source!E130</f>
        <v>10</v>
      </c>
      <c r="C37" s="84" t="str">
        <f>Source!G130</f>
        <v>Затаривание строительного мусора в мешки</v>
      </c>
      <c r="D37" s="81" t="s">
        <v>129</v>
      </c>
      <c r="E37" s="85">
        <f>Source!I130</f>
        <v>5.4</v>
      </c>
      <c r="F37" s="81">
        <f>Source!U126</f>
      </c>
      <c r="G37" s="81">
        <f>Source!I130</f>
        <v>5.4</v>
      </c>
      <c r="H37" s="84"/>
    </row>
    <row r="38" spans="1:8" ht="28.5">
      <c r="A38" s="81">
        <v>11</v>
      </c>
      <c r="B38" s="81" t="str">
        <f>Source!E132</f>
        <v>11</v>
      </c>
      <c r="C38" s="84" t="str">
        <f>Source!G132</f>
        <v>Погрузочные работы при автомобильных перевозках мусора строительного с погрузкой вручную</v>
      </c>
      <c r="D38" s="81" t="s">
        <v>180</v>
      </c>
      <c r="E38" s="85">
        <f>Source!I132</f>
        <v>11.18</v>
      </c>
      <c r="F38" s="81">
        <f>Source!U126</f>
      </c>
      <c r="G38" s="81">
        <f>Source!I132</f>
        <v>11.18</v>
      </c>
      <c r="H38" s="84"/>
    </row>
    <row r="39" spans="1:8" ht="42.75">
      <c r="A39" s="80">
        <v>12</v>
      </c>
      <c r="B39" s="80" t="str">
        <f>Source!E134</f>
        <v>12</v>
      </c>
      <c r="C39" s="82" t="str">
        <f>Source!G134</f>
        <v>Перевозка грузов I класса автомобилями бортовыми грузоподъемностью до 15 т на расстояние: 50 км (Приказ от 06.11.2020 № МКЭ-ОД/20-68 прил. 2 по ЮЗАО - 50 км) Применительно</v>
      </c>
      <c r="D39" s="80" t="s">
        <v>180</v>
      </c>
      <c r="E39" s="83">
        <f>Source!I134</f>
        <v>11.18</v>
      </c>
      <c r="F39" s="80">
        <f>Source!U126</f>
      </c>
      <c r="G39" s="80">
        <f>Source!I134</f>
        <v>11.18</v>
      </c>
      <c r="H39" s="82"/>
    </row>
    <row r="42" spans="2:5" ht="15">
      <c r="B42" s="86" t="s">
        <v>470</v>
      </c>
      <c r="C42" s="14"/>
      <c r="D42" s="87" t="s">
        <v>471</v>
      </c>
      <c r="E42" s="88"/>
    </row>
  </sheetData>
  <sheetProtection/>
  <mergeCells count="8">
    <mergeCell ref="A23:H23"/>
    <mergeCell ref="A36:H36"/>
    <mergeCell ref="D5:E5"/>
    <mergeCell ref="D7:E7"/>
    <mergeCell ref="B12:E12"/>
    <mergeCell ref="B13:E13"/>
    <mergeCell ref="A18:H18"/>
    <mergeCell ref="A19:H19"/>
  </mergeCells>
  <printOptions/>
  <pageMargins left="0.4" right="0.2" top="0.2" bottom="0.4" header="0.2" footer="0.2"/>
  <pageSetup fitToHeight="0" fitToWidth="1" horizontalDpi="600" verticalDpi="600" orientation="portrait" paperSize="9" scale="59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7109375" style="0" customWidth="1"/>
    <col min="3" max="3" width="40.7109375" style="0" customWidth="1"/>
    <col min="4" max="8" width="12.7109375" style="0" customWidth="1"/>
    <col min="20" max="30" width="0" style="0" hidden="1" customWidth="1"/>
    <col min="31" max="31" width="64.7109375" style="0" hidden="1" customWidth="1"/>
    <col min="32" max="32" width="0" style="0" hidden="1" customWidth="1"/>
    <col min="33" max="33" width="76.7109375" style="0" hidden="1" customWidth="1"/>
    <col min="34" max="37" width="0" style="0" hidden="1" customWidth="1"/>
  </cols>
  <sheetData>
    <row r="1" ht="12.75">
      <c r="A1" s="12" t="str">
        <f>Source!B1</f>
        <v>Smeta.RU  (495) 974-1589</v>
      </c>
    </row>
    <row r="2" spans="1:8" ht="15">
      <c r="A2" s="53"/>
      <c r="B2" s="53"/>
      <c r="C2" s="53"/>
      <c r="D2" s="53"/>
      <c r="E2" s="150" t="s">
        <v>472</v>
      </c>
      <c r="F2" s="150"/>
      <c r="G2" s="150"/>
      <c r="H2" s="150"/>
    </row>
    <row r="3" spans="1:8" ht="14.25">
      <c r="A3" s="14"/>
      <c r="B3" s="14"/>
      <c r="C3" s="14"/>
      <c r="D3" s="14"/>
      <c r="E3" s="150" t="s">
        <v>473</v>
      </c>
      <c r="F3" s="150"/>
      <c r="G3" s="150"/>
      <c r="H3" s="150"/>
    </row>
    <row r="4" spans="1:8" ht="14.25">
      <c r="A4" s="14"/>
      <c r="B4" s="14"/>
      <c r="C4" s="14"/>
      <c r="D4" s="14"/>
      <c r="E4" s="150" t="s">
        <v>474</v>
      </c>
      <c r="F4" s="150"/>
      <c r="G4" s="150"/>
      <c r="H4" s="150"/>
    </row>
    <row r="5" spans="1:8" ht="14.25">
      <c r="A5" s="14"/>
      <c r="B5" s="14"/>
      <c r="C5" s="14"/>
      <c r="D5" s="14"/>
      <c r="E5" s="14"/>
      <c r="F5" s="14"/>
      <c r="G5" s="14"/>
      <c r="H5" s="14"/>
    </row>
    <row r="6" spans="1:8" ht="14.25">
      <c r="A6" s="14"/>
      <c r="B6" s="14"/>
      <c r="C6" s="14"/>
      <c r="D6" s="14"/>
      <c r="E6" s="14"/>
      <c r="F6" s="14"/>
      <c r="G6" s="151" t="s">
        <v>475</v>
      </c>
      <c r="H6" s="152"/>
    </row>
    <row r="7" spans="1:8" ht="14.25">
      <c r="A7" s="14"/>
      <c r="B7" s="14"/>
      <c r="C7" s="14"/>
      <c r="D7" s="14"/>
      <c r="E7" s="14"/>
      <c r="F7" s="56" t="s">
        <v>476</v>
      </c>
      <c r="G7" s="153" t="s">
        <v>477</v>
      </c>
      <c r="H7" s="152"/>
    </row>
    <row r="8" spans="1:8" ht="14.25">
      <c r="A8" s="14"/>
      <c r="B8" s="14"/>
      <c r="C8" s="14"/>
      <c r="D8" s="14"/>
      <c r="E8" s="14"/>
      <c r="F8" s="14"/>
      <c r="G8" s="151">
        <f>IF(Source!AT15&lt;&gt;"",Source!AT15,"")</f>
      </c>
      <c r="H8" s="152"/>
    </row>
    <row r="9" spans="1:8" ht="14.25">
      <c r="A9" s="14" t="s">
        <v>478</v>
      </c>
      <c r="B9" s="14"/>
      <c r="C9" s="156">
        <f>IF(Source!BA15&lt;&gt;"",Source!BA15,IF(Source!AU15&lt;&gt;"",Source!AU15,""))</f>
      </c>
      <c r="D9" s="156"/>
      <c r="E9" s="156"/>
      <c r="F9" s="56" t="s">
        <v>479</v>
      </c>
      <c r="G9" s="154"/>
      <c r="H9" s="155"/>
    </row>
    <row r="10" spans="1:8" ht="14.25">
      <c r="A10" s="14"/>
      <c r="B10" s="14"/>
      <c r="C10" s="141" t="s">
        <v>480</v>
      </c>
      <c r="D10" s="141"/>
      <c r="E10" s="141"/>
      <c r="F10" s="14"/>
      <c r="G10" s="151">
        <f>IF(Source!AK15&lt;&gt;"",Source!AK15,"")</f>
      </c>
      <c r="H10" s="152"/>
    </row>
    <row r="11" spans="1:8" ht="14.25">
      <c r="A11" s="14" t="s">
        <v>481</v>
      </c>
      <c r="B11" s="14"/>
      <c r="C11" s="156" t="str">
        <f>IF(Source!AX12&lt;&gt;"",Source!AX12,IF(Source!AJ12&lt;&gt;"",Source!AJ12,""))</f>
        <v>ИПУ РАН</v>
      </c>
      <c r="D11" s="156"/>
      <c r="E11" s="156"/>
      <c r="F11" s="56" t="s">
        <v>479</v>
      </c>
      <c r="G11" s="154"/>
      <c r="H11" s="155"/>
    </row>
    <row r="12" spans="1:8" ht="14.25">
      <c r="A12" s="14"/>
      <c r="B12" s="14"/>
      <c r="C12" s="141" t="s">
        <v>480</v>
      </c>
      <c r="D12" s="141"/>
      <c r="E12" s="141"/>
      <c r="F12" s="14"/>
      <c r="G12" s="151">
        <f>IF(Source!AO15&lt;&gt;"",Source!AO15,"")</f>
      </c>
      <c r="H12" s="152"/>
    </row>
    <row r="13" spans="1:8" ht="14.25">
      <c r="A13" s="14" t="s">
        <v>482</v>
      </c>
      <c r="B13" s="14"/>
      <c r="C13" s="156">
        <f>IF(Source!AY12&lt;&gt;"",Source!AY12,IF(Source!AN12&lt;&gt;"",Source!AN12,""))</f>
      </c>
      <c r="D13" s="156"/>
      <c r="E13" s="156"/>
      <c r="F13" s="56" t="s">
        <v>479</v>
      </c>
      <c r="G13" s="154"/>
      <c r="H13" s="155"/>
    </row>
    <row r="14" spans="1:8" ht="14.25">
      <c r="A14" s="14"/>
      <c r="B14" s="14"/>
      <c r="C14" s="141" t="s">
        <v>480</v>
      </c>
      <c r="D14" s="141"/>
      <c r="E14" s="141"/>
      <c r="F14" s="14"/>
      <c r="G14" s="151">
        <f>IF(Source!CO15&lt;&gt;"",Source!CO15,"")</f>
      </c>
      <c r="H14" s="152"/>
    </row>
    <row r="15" spans="1:31" ht="28.5">
      <c r="A15" s="14" t="s">
        <v>483</v>
      </c>
      <c r="B15" s="14"/>
      <c r="C15" s="156" t="s">
        <v>4</v>
      </c>
      <c r="D15" s="156"/>
      <c r="E15" s="156"/>
      <c r="F15" s="14"/>
      <c r="G15" s="154"/>
      <c r="H15" s="155"/>
      <c r="AE15" s="54" t="s">
        <v>4</v>
      </c>
    </row>
    <row r="16" spans="1:8" ht="14.25">
      <c r="A16" s="14"/>
      <c r="B16" s="14"/>
      <c r="C16" s="141" t="s">
        <v>484</v>
      </c>
      <c r="D16" s="141"/>
      <c r="E16" s="141"/>
      <c r="F16" s="14"/>
      <c r="G16" s="151">
        <f>IF(Source!CP15&lt;&gt;"",Source!CP15,"")</f>
      </c>
      <c r="H16" s="152"/>
    </row>
    <row r="17" spans="1:31" ht="28.5">
      <c r="A17" s="14" t="s">
        <v>485</v>
      </c>
      <c r="B17" s="14"/>
      <c r="C17" s="156" t="str">
        <f>IF(Source!G12&lt;&gt;"Новый объект",Source!G12,"")</f>
        <v>Выполнение работ по текущему ремонту кровли ИПУ РАН строения 4</v>
      </c>
      <c r="D17" s="156"/>
      <c r="E17" s="156"/>
      <c r="F17" s="14"/>
      <c r="G17" s="157"/>
      <c r="H17" s="158"/>
      <c r="AE17" s="54" t="str">
        <f>IF(Source!G12&lt;&gt;"Новый объект",Source!G12,"")</f>
        <v>Выполнение работ по текущему ремонту кровли ИПУ РАН строения 4</v>
      </c>
    </row>
    <row r="18" spans="1:8" ht="14.25">
      <c r="A18" s="14"/>
      <c r="B18" s="14"/>
      <c r="C18" s="141" t="s">
        <v>486</v>
      </c>
      <c r="D18" s="141"/>
      <c r="E18" s="141"/>
      <c r="F18" s="14"/>
      <c r="G18" s="14"/>
      <c r="H18" s="14"/>
    </row>
    <row r="19" spans="1:8" ht="14.25">
      <c r="A19" s="14"/>
      <c r="B19" s="14"/>
      <c r="C19" s="14"/>
      <c r="D19" s="162" t="s">
        <v>487</v>
      </c>
      <c r="E19" s="162"/>
      <c r="F19" s="163"/>
      <c r="G19" s="151">
        <f>IF(Source!CQ15&lt;&gt;"",Source!CQ15,"")</f>
      </c>
      <c r="H19" s="152"/>
    </row>
    <row r="20" spans="1:8" ht="14.25">
      <c r="A20" s="14"/>
      <c r="B20" s="14"/>
      <c r="C20" s="14"/>
      <c r="D20" s="162" t="s">
        <v>488</v>
      </c>
      <c r="E20" s="163"/>
      <c r="F20" s="89" t="s">
        <v>489</v>
      </c>
      <c r="G20" s="151">
        <f>IF(Source!CR15&lt;&gt;"",Source!CR15,"")</f>
      </c>
      <c r="H20" s="152"/>
    </row>
    <row r="21" spans="1:8" ht="14.25">
      <c r="A21" s="14"/>
      <c r="B21" s="14"/>
      <c r="C21" s="14"/>
      <c r="D21" s="14"/>
      <c r="E21" s="14"/>
      <c r="F21" s="42" t="s">
        <v>490</v>
      </c>
      <c r="G21" s="164">
        <f>IF(Source!CS15&lt;&gt;0,Source!CS15,"")</f>
      </c>
      <c r="H21" s="165"/>
    </row>
    <row r="22" spans="1:8" ht="14.25">
      <c r="A22" s="14"/>
      <c r="B22" s="14"/>
      <c r="C22" s="14"/>
      <c r="D22" s="14"/>
      <c r="E22" s="14"/>
      <c r="F22" s="56" t="s">
        <v>491</v>
      </c>
      <c r="G22" s="159">
        <f>IF(Source!CT15&lt;&gt;"",Source!CT15,"")</f>
      </c>
      <c r="H22" s="160"/>
    </row>
    <row r="23" spans="1:8" ht="14.25">
      <c r="A23" s="14"/>
      <c r="B23" s="14"/>
      <c r="C23" s="14"/>
      <c r="D23" s="14"/>
      <c r="E23" s="14"/>
      <c r="F23" s="14"/>
      <c r="G23" s="14"/>
      <c r="H23" s="14"/>
    </row>
    <row r="24" spans="1:8" ht="14.25">
      <c r="A24" s="14"/>
      <c r="B24" s="14"/>
      <c r="C24" s="14"/>
      <c r="D24" s="125" t="s">
        <v>492</v>
      </c>
      <c r="E24" s="132" t="s">
        <v>493</v>
      </c>
      <c r="F24" s="132" t="s">
        <v>494</v>
      </c>
      <c r="G24" s="134"/>
      <c r="H24" s="14"/>
    </row>
    <row r="25" spans="1:8" ht="14.25">
      <c r="A25" s="14"/>
      <c r="B25" s="14"/>
      <c r="C25" s="14"/>
      <c r="D25" s="127"/>
      <c r="E25" s="135"/>
      <c r="F25" s="90" t="s">
        <v>495</v>
      </c>
      <c r="G25" s="91" t="s">
        <v>496</v>
      </c>
      <c r="H25" s="14"/>
    </row>
    <row r="26" spans="1:8" ht="14.25">
      <c r="A26" s="14"/>
      <c r="B26" s="14"/>
      <c r="C26" s="14"/>
      <c r="D26" s="92">
        <f>IF(Source!CN15&lt;&gt;"",Source!CN15,"")</f>
      </c>
      <c r="E26" s="93">
        <f>IF(Source!CX15&lt;&gt;0,Source!CX15,"")</f>
      </c>
      <c r="F26" s="93">
        <f>IF(Source!CV15&lt;&gt;0,Source!CV15,"")</f>
      </c>
      <c r="G26" s="93">
        <f>IF(Source!CW15&lt;&gt;0,Source!CW15,"")</f>
      </c>
      <c r="H26" s="14"/>
    </row>
    <row r="27" spans="1:8" ht="14.25">
      <c r="A27" s="14"/>
      <c r="B27" s="14"/>
      <c r="C27" s="14"/>
      <c r="D27" s="14"/>
      <c r="E27" s="14"/>
      <c r="F27" s="14"/>
      <c r="G27" s="14"/>
      <c r="H27" s="14"/>
    </row>
    <row r="28" spans="1:8" ht="18">
      <c r="A28" s="161" t="s">
        <v>497</v>
      </c>
      <c r="B28" s="161"/>
      <c r="C28" s="161"/>
      <c r="D28" s="161"/>
      <c r="E28" s="161"/>
      <c r="F28" s="161"/>
      <c r="G28" s="161"/>
      <c r="H28" s="161"/>
    </row>
    <row r="29" spans="1:8" ht="18">
      <c r="A29" s="161" t="s">
        <v>498</v>
      </c>
      <c r="B29" s="161"/>
      <c r="C29" s="161"/>
      <c r="D29" s="161"/>
      <c r="E29" s="161"/>
      <c r="F29" s="161"/>
      <c r="G29" s="161"/>
      <c r="H29" s="161"/>
    </row>
    <row r="30" spans="1:8" ht="14.25">
      <c r="A30" s="14"/>
      <c r="B30" s="14"/>
      <c r="C30" s="14"/>
      <c r="D30" s="14"/>
      <c r="E30" s="14"/>
      <c r="F30" s="14"/>
      <c r="G30" s="14"/>
      <c r="H30" s="14"/>
    </row>
    <row r="31" spans="1:8" ht="15">
      <c r="A31" s="11" t="s">
        <v>499</v>
      </c>
      <c r="B31" s="14"/>
      <c r="C31" s="14"/>
      <c r="D31" s="14"/>
      <c r="E31" s="14"/>
      <c r="F31" s="167">
        <f>ROUND((Source!P229/1000),2)</f>
        <v>351.69</v>
      </c>
      <c r="G31" s="167"/>
      <c r="H31" s="14" t="s">
        <v>500</v>
      </c>
    </row>
    <row r="32" spans="1:8" ht="14.25">
      <c r="A32" s="14"/>
      <c r="B32" s="14"/>
      <c r="C32" s="14"/>
      <c r="D32" s="14"/>
      <c r="E32" s="14"/>
      <c r="F32" s="14"/>
      <c r="G32" s="14"/>
      <c r="H32" s="14"/>
    </row>
    <row r="33" spans="1:8" ht="14.25">
      <c r="A33" s="168" t="s">
        <v>501</v>
      </c>
      <c r="B33" s="168"/>
      <c r="C33" s="168" t="s">
        <v>502</v>
      </c>
      <c r="D33" s="168" t="s">
        <v>503</v>
      </c>
      <c r="E33" s="168" t="s">
        <v>379</v>
      </c>
      <c r="F33" s="168" t="s">
        <v>504</v>
      </c>
      <c r="G33" s="168"/>
      <c r="H33" s="168"/>
    </row>
    <row r="34" spans="1:8" ht="57">
      <c r="A34" s="80" t="s">
        <v>505</v>
      </c>
      <c r="B34" s="80" t="s">
        <v>506</v>
      </c>
      <c r="C34" s="168"/>
      <c r="D34" s="168"/>
      <c r="E34" s="168"/>
      <c r="F34" s="80" t="s">
        <v>380</v>
      </c>
      <c r="G34" s="80" t="s">
        <v>507</v>
      </c>
      <c r="H34" s="80" t="s">
        <v>508</v>
      </c>
    </row>
    <row r="35" spans="1:8" ht="14.25">
      <c r="A35" s="80">
        <v>1</v>
      </c>
      <c r="B35" s="80">
        <v>2</v>
      </c>
      <c r="C35" s="80">
        <v>3</v>
      </c>
      <c r="D35" s="80">
        <v>4</v>
      </c>
      <c r="E35" s="80">
        <v>5</v>
      </c>
      <c r="F35" s="80">
        <v>6</v>
      </c>
      <c r="G35" s="80">
        <v>7</v>
      </c>
      <c r="H35" s="80">
        <v>8</v>
      </c>
    </row>
    <row r="37" spans="1:8" ht="16.5">
      <c r="A37" s="145" t="str">
        <f>CONCATENATE("Локальная смета: ",IF(Source!G20&lt;&gt;"Новая локальная смета",Source!G20,""))</f>
        <v>Локальная смета: </v>
      </c>
      <c r="B37" s="145"/>
      <c r="C37" s="145"/>
      <c r="D37" s="145"/>
      <c r="E37" s="145"/>
      <c r="F37" s="145"/>
      <c r="G37" s="145"/>
      <c r="H37" s="145"/>
    </row>
    <row r="39" spans="1:8" ht="16.5">
      <c r="A39" s="145" t="str">
        <f>CONCATENATE("Раздел: ",IF(Source!G24&lt;&gt;"Новый раздел",Source!G24,""))</f>
        <v>Раздел: Демонтажные работы</v>
      </c>
      <c r="B39" s="145"/>
      <c r="C39" s="145"/>
      <c r="D39" s="145"/>
      <c r="E39" s="145"/>
      <c r="F39" s="145"/>
      <c r="G39" s="145"/>
      <c r="H39" s="145"/>
    </row>
    <row r="40" spans="1:28" ht="28.5">
      <c r="A40" s="74">
        <v>1</v>
      </c>
      <c r="B40" s="74">
        <v>1</v>
      </c>
      <c r="C40" s="74" t="str">
        <f>Source!G29</f>
        <v>Разборка покрытий кровель: из рулонных материалов</v>
      </c>
      <c r="D40" s="74" t="str">
        <f>Source!F29</f>
        <v>46-04-008-01</v>
      </c>
      <c r="E40" s="58" t="str">
        <f>Source!H29</f>
        <v>100 м2</v>
      </c>
      <c r="F40" s="14">
        <f>Source!I29</f>
        <v>2.34</v>
      </c>
      <c r="G40" s="44">
        <f>Source!AB29</f>
        <v>153.59</v>
      </c>
      <c r="H40" s="44">
        <f>Source!O29</f>
        <v>11083.62</v>
      </c>
      <c r="T40">
        <f>Source!O29</f>
        <v>11083.62</v>
      </c>
      <c r="U40">
        <f>Source!P29</f>
        <v>0</v>
      </c>
      <c r="V40">
        <f>Source!S29</f>
        <v>9800.05</v>
      </c>
      <c r="W40">
        <f>Source!Q29</f>
        <v>1283.57</v>
      </c>
      <c r="X40">
        <f>Source!R29</f>
        <v>0</v>
      </c>
      <c r="Y40">
        <f>Source!U29</f>
        <v>33.6492</v>
      </c>
      <c r="Z40">
        <f>Source!V29</f>
        <v>0</v>
      </c>
      <c r="AA40">
        <f>Source!X29</f>
        <v>8918.05</v>
      </c>
      <c r="AB40">
        <f>Source!Y29</f>
        <v>5096.03</v>
      </c>
    </row>
    <row r="41" spans="3:8" ht="14.25">
      <c r="C41" s="45" t="str">
        <f>"Объем: "&amp;Source!I29&amp;"=234/"&amp;"100"</f>
        <v>Объем: 2,34=234/100</v>
      </c>
      <c r="F41" s="14"/>
      <c r="G41" s="14"/>
      <c r="H41" s="14"/>
    </row>
    <row r="42" spans="3:4" ht="63.75">
      <c r="C42" s="45" t="s">
        <v>509</v>
      </c>
      <c r="D42" s="45" t="str">
        <f>Source!BO29</f>
        <v>Письмо Минстроя России от 28.08.2023 № 52355-ИФ/09</v>
      </c>
    </row>
    <row r="43" spans="3:4" ht="12.75">
      <c r="C43" s="45" t="s">
        <v>510</v>
      </c>
      <c r="D43" s="45">
        <f>Source!BA29</f>
        <v>37.34</v>
      </c>
    </row>
    <row r="44" spans="3:4" ht="12.75">
      <c r="C44" s="45" t="s">
        <v>511</v>
      </c>
      <c r="D44" s="45">
        <f>Source!BB29</f>
        <v>13.24</v>
      </c>
    </row>
    <row r="45" spans="3:4" ht="12.75">
      <c r="C45" s="45" t="s">
        <v>512</v>
      </c>
      <c r="D45" s="45">
        <f>Source!BC29</f>
        <v>6.72</v>
      </c>
    </row>
    <row r="46" spans="3:4" ht="12.75">
      <c r="C46" s="45" t="s">
        <v>513</v>
      </c>
      <c r="D46" s="45">
        <f>Source!BS29</f>
        <v>37.34</v>
      </c>
    </row>
    <row r="47" spans="3:8" ht="12.75">
      <c r="C47" s="45" t="s">
        <v>514</v>
      </c>
      <c r="D47" s="166" t="s">
        <v>26</v>
      </c>
      <c r="E47" s="166"/>
      <c r="F47" s="166"/>
      <c r="G47" s="166"/>
      <c r="H47" s="166"/>
    </row>
    <row r="48" spans="3:8" ht="12.75">
      <c r="C48" s="45" t="s">
        <v>515</v>
      </c>
      <c r="D48" s="166" t="s">
        <v>27</v>
      </c>
      <c r="E48" s="166"/>
      <c r="F48" s="166"/>
      <c r="G48" s="166"/>
      <c r="H48" s="166"/>
    </row>
    <row r="49" spans="1:28" ht="28.5">
      <c r="A49" s="74">
        <v>2</v>
      </c>
      <c r="B49" s="74">
        <v>2</v>
      </c>
      <c r="C49" s="74" t="str">
        <f>Source!G31</f>
        <v>Разборка стяжек: цементных толщиной 20 мм (Применительно)</v>
      </c>
      <c r="D49" s="74" t="str">
        <f>Source!F31</f>
        <v>11-01-011-01</v>
      </c>
      <c r="E49" s="58" t="str">
        <f>Source!H31</f>
        <v>100 м2</v>
      </c>
      <c r="F49" s="14">
        <f>Source!I31</f>
        <v>0.97</v>
      </c>
      <c r="G49" s="44">
        <f>Source!AB31</f>
        <v>261.02</v>
      </c>
      <c r="H49" s="44">
        <f>Source!O31</f>
        <v>8638.44</v>
      </c>
      <c r="T49">
        <f>Source!O31</f>
        <v>8638.44</v>
      </c>
      <c r="U49">
        <f>Source!P31</f>
        <v>0</v>
      </c>
      <c r="V49">
        <f>Source!S31</f>
        <v>8190.38</v>
      </c>
      <c r="W49">
        <f>Source!Q31</f>
        <v>448.06</v>
      </c>
      <c r="X49">
        <f>Source!R31</f>
        <v>496.94</v>
      </c>
      <c r="Y49">
        <f>Source!U31</f>
        <v>27.625600000000002</v>
      </c>
      <c r="Z49">
        <f>Source!V31</f>
        <v>0.98552</v>
      </c>
      <c r="AA49">
        <f>Source!X31</f>
        <v>9729.8</v>
      </c>
      <c r="AB49">
        <f>Source!Y31</f>
        <v>5646.76</v>
      </c>
    </row>
    <row r="50" spans="3:8" ht="14.25">
      <c r="C50" s="45" t="str">
        <f>"Объем: "&amp;Source!I31&amp;"=97/"&amp;"100"</f>
        <v>Объем: 0,97=97/100</v>
      </c>
      <c r="F50" s="14"/>
      <c r="G50" s="14"/>
      <c r="H50" s="14"/>
    </row>
    <row r="51" spans="3:4" ht="63.75">
      <c r="C51" s="45" t="s">
        <v>509</v>
      </c>
      <c r="D51" s="45" t="str">
        <f>Source!BO31</f>
        <v>Письмо Минстроя России от 28.08.2023 № 52355-ИФ/09</v>
      </c>
    </row>
    <row r="52" spans="3:4" ht="12.75">
      <c r="C52" s="45" t="s">
        <v>510</v>
      </c>
      <c r="D52" s="45">
        <f>Source!BA31</f>
        <v>37.34</v>
      </c>
    </row>
    <row r="53" spans="3:4" ht="12.75">
      <c r="C53" s="45" t="s">
        <v>511</v>
      </c>
      <c r="D53" s="45">
        <f>Source!BB31</f>
        <v>13.24</v>
      </c>
    </row>
    <row r="54" spans="3:4" ht="12.75">
      <c r="C54" s="45" t="s">
        <v>512</v>
      </c>
      <c r="D54" s="45">
        <f>Source!BC31</f>
        <v>6.72</v>
      </c>
    </row>
    <row r="55" spans="3:4" ht="12.75">
      <c r="C55" s="45" t="s">
        <v>513</v>
      </c>
      <c r="D55" s="45">
        <f>Source!BS31</f>
        <v>37.34</v>
      </c>
    </row>
    <row r="56" spans="3:8" ht="12.75">
      <c r="C56" s="45" t="s">
        <v>516</v>
      </c>
      <c r="D56" s="166" t="s">
        <v>40</v>
      </c>
      <c r="E56" s="166"/>
      <c r="F56" s="166"/>
      <c r="G56" s="166"/>
      <c r="H56" s="166"/>
    </row>
    <row r="57" spans="3:8" ht="12.75">
      <c r="C57" s="45" t="s">
        <v>517</v>
      </c>
      <c r="D57" s="166" t="s">
        <v>41</v>
      </c>
      <c r="E57" s="166"/>
      <c r="F57" s="166"/>
      <c r="G57" s="166"/>
      <c r="H57" s="166"/>
    </row>
    <row r="58" spans="3:8" ht="12.75">
      <c r="C58" s="45" t="s">
        <v>518</v>
      </c>
      <c r="D58" s="166" t="s">
        <v>41</v>
      </c>
      <c r="E58" s="166"/>
      <c r="F58" s="166"/>
      <c r="G58" s="166"/>
      <c r="H58" s="166"/>
    </row>
    <row r="59" spans="3:8" ht="12.75">
      <c r="C59" s="45" t="s">
        <v>519</v>
      </c>
      <c r="D59" s="166" t="s">
        <v>41</v>
      </c>
      <c r="E59" s="166"/>
      <c r="F59" s="166"/>
      <c r="G59" s="166"/>
      <c r="H59" s="166"/>
    </row>
    <row r="60" spans="3:8" ht="12.75">
      <c r="C60" s="45" t="s">
        <v>520</v>
      </c>
      <c r="D60" s="166" t="s">
        <v>41</v>
      </c>
      <c r="E60" s="166"/>
      <c r="F60" s="166"/>
      <c r="G60" s="166"/>
      <c r="H60" s="166"/>
    </row>
    <row r="61" spans="3:8" ht="12.75">
      <c r="C61" s="45" t="s">
        <v>521</v>
      </c>
      <c r="D61" s="166" t="s">
        <v>41</v>
      </c>
      <c r="E61" s="166"/>
      <c r="F61" s="166"/>
      <c r="G61" s="166"/>
      <c r="H61" s="166"/>
    </row>
    <row r="62" spans="1:28" ht="28.5">
      <c r="A62" s="74" t="s">
        <v>47</v>
      </c>
      <c r="B62" s="74" t="s">
        <v>47</v>
      </c>
      <c r="C62" s="74" t="str">
        <f>Source!G33</f>
        <v>Вода</v>
      </c>
      <c r="D62" s="74" t="str">
        <f>Source!F33</f>
        <v>01.7.03.01-0001</v>
      </c>
      <c r="E62" s="58" t="str">
        <f>Source!H33</f>
        <v>м3</v>
      </c>
      <c r="F62" s="14">
        <f>Source!I33</f>
        <v>0</v>
      </c>
      <c r="G62" s="44">
        <f>Source!AB33</f>
        <v>2.44</v>
      </c>
      <c r="H62" s="44">
        <f>Source!O33</f>
        <v>0</v>
      </c>
      <c r="T62">
        <f>Source!O33</f>
        <v>0</v>
      </c>
      <c r="U62">
        <f>Source!P33</f>
        <v>0</v>
      </c>
      <c r="V62">
        <f>Source!S33</f>
        <v>0</v>
      </c>
      <c r="W62">
        <f>Source!Q33</f>
        <v>0</v>
      </c>
      <c r="X62">
        <f>Source!R33</f>
        <v>0</v>
      </c>
      <c r="Y62">
        <f>Source!U33</f>
        <v>0</v>
      </c>
      <c r="Z62">
        <f>Source!V33</f>
        <v>0</v>
      </c>
      <c r="AA62">
        <f>Source!X33</f>
        <v>0</v>
      </c>
      <c r="AB62">
        <f>Source!Y33</f>
        <v>0</v>
      </c>
    </row>
    <row r="63" spans="3:8" ht="63.75">
      <c r="C63" s="45" t="s">
        <v>509</v>
      </c>
      <c r="D63" s="45" t="str">
        <f>Source!BO33</f>
        <v>Письмо Минстроя России от 28.08.2023 № 52355-ИФ/09</v>
      </c>
      <c r="F63" s="14"/>
      <c r="G63" s="14"/>
      <c r="H63" s="14"/>
    </row>
    <row r="64" spans="3:4" ht="12.75">
      <c r="C64" s="45" t="s">
        <v>512</v>
      </c>
      <c r="D64" s="45">
        <f>Source!BC33</f>
        <v>6.72</v>
      </c>
    </row>
    <row r="65" spans="1:28" ht="71.25">
      <c r="A65" s="74">
        <v>3</v>
      </c>
      <c r="B65" s="74">
        <v>3</v>
      </c>
      <c r="C65" s="74" t="str">
        <f>Source!G35</f>
        <v>Разборка стяжек: на каждые 5 мм изменения толщины стяжки добавлять или исключать к расценке 11-01-011-03 (К=2, добавить 10 мм, разборка 30 мм стяжки) Применительно</v>
      </c>
      <c r="D65" s="74" t="str">
        <f>Source!F35</f>
        <v>11-01-011-04</v>
      </c>
      <c r="E65" s="58" t="str">
        <f>Source!H35</f>
        <v>100 м2</v>
      </c>
      <c r="F65" s="14">
        <f>Source!I35</f>
        <v>0.97</v>
      </c>
      <c r="G65" s="44">
        <f>Source!AB35</f>
        <v>17.58</v>
      </c>
      <c r="H65" s="44">
        <f>Source!O35</f>
        <v>354.05</v>
      </c>
      <c r="T65">
        <f>Source!O35</f>
        <v>354.05</v>
      </c>
      <c r="U65">
        <f>Source!P35</f>
        <v>0</v>
      </c>
      <c r="V65">
        <f>Source!S35</f>
        <v>198.85</v>
      </c>
      <c r="W65">
        <f>Source!Q35</f>
        <v>155.2</v>
      </c>
      <c r="X65">
        <f>Source!R35</f>
        <v>164.44</v>
      </c>
      <c r="Y65">
        <f>Source!U35</f>
        <v>0.68288</v>
      </c>
      <c r="Z65">
        <f>Source!V35</f>
        <v>0.32592</v>
      </c>
      <c r="AA65">
        <f>Source!X35</f>
        <v>406.88</v>
      </c>
      <c r="AB65">
        <f>Source!Y35</f>
        <v>236.14</v>
      </c>
    </row>
    <row r="66" spans="3:8" ht="14.25">
      <c r="C66" s="45" t="str">
        <f>"Объем: "&amp;Source!I35&amp;"=97/"&amp;"100"</f>
        <v>Объем: 0,97=97/100</v>
      </c>
      <c r="F66" s="14"/>
      <c r="G66" s="14"/>
      <c r="H66" s="14"/>
    </row>
    <row r="67" spans="3:4" ht="63.75">
      <c r="C67" s="45" t="s">
        <v>509</v>
      </c>
      <c r="D67" s="45" t="str">
        <f>Source!BO35</f>
        <v>Письмо Минстроя России от 28.08.2023 № 52355-ИФ/09</v>
      </c>
    </row>
    <row r="68" spans="3:4" ht="12.75">
      <c r="C68" s="45" t="s">
        <v>510</v>
      </c>
      <c r="D68" s="45">
        <f>Source!BA35</f>
        <v>37.34</v>
      </c>
    </row>
    <row r="69" spans="3:4" ht="12.75">
      <c r="C69" s="45" t="s">
        <v>511</v>
      </c>
      <c r="D69" s="45">
        <f>Source!BB35</f>
        <v>13.24</v>
      </c>
    </row>
    <row r="70" spans="3:4" ht="12.75">
      <c r="C70" s="45" t="s">
        <v>512</v>
      </c>
      <c r="D70" s="45">
        <f>Source!BC35</f>
        <v>6.72</v>
      </c>
    </row>
    <row r="71" spans="3:4" ht="12.75">
      <c r="C71" s="45" t="s">
        <v>513</v>
      </c>
      <c r="D71" s="45">
        <f>Source!BS35</f>
        <v>37.34</v>
      </c>
    </row>
    <row r="72" spans="3:8" ht="12.75">
      <c r="C72" s="45" t="s">
        <v>516</v>
      </c>
      <c r="D72" s="166" t="s">
        <v>56</v>
      </c>
      <c r="E72" s="166"/>
      <c r="F72" s="166"/>
      <c r="G72" s="166"/>
      <c r="H72" s="166"/>
    </row>
    <row r="73" spans="3:8" ht="12.75">
      <c r="C73" s="45" t="s">
        <v>517</v>
      </c>
      <c r="D73" s="166" t="s">
        <v>57</v>
      </c>
      <c r="E73" s="166"/>
      <c r="F73" s="166"/>
      <c r="G73" s="166"/>
      <c r="H73" s="166"/>
    </row>
    <row r="74" spans="3:8" ht="12.75">
      <c r="C74" s="45" t="s">
        <v>518</v>
      </c>
      <c r="D74" s="166" t="s">
        <v>57</v>
      </c>
      <c r="E74" s="166"/>
      <c r="F74" s="166"/>
      <c r="G74" s="166"/>
      <c r="H74" s="166"/>
    </row>
    <row r="75" spans="3:8" ht="12.75">
      <c r="C75" s="45" t="s">
        <v>519</v>
      </c>
      <c r="D75" s="166" t="s">
        <v>57</v>
      </c>
      <c r="E75" s="166"/>
      <c r="F75" s="166"/>
      <c r="G75" s="166"/>
      <c r="H75" s="166"/>
    </row>
    <row r="76" spans="3:8" ht="12.75">
      <c r="C76" s="45" t="s">
        <v>520</v>
      </c>
      <c r="D76" s="166" t="s">
        <v>57</v>
      </c>
      <c r="E76" s="166"/>
      <c r="F76" s="166"/>
      <c r="G76" s="166"/>
      <c r="H76" s="166"/>
    </row>
    <row r="77" spans="3:8" ht="12.75">
      <c r="C77" s="45" t="s">
        <v>521</v>
      </c>
      <c r="D77" s="166" t="s">
        <v>57</v>
      </c>
      <c r="E77" s="166"/>
      <c r="F77" s="166"/>
      <c r="G77" s="166"/>
      <c r="H77" s="166"/>
    </row>
    <row r="79" spans="1:8" ht="15">
      <c r="A79" s="64"/>
      <c r="B79" s="64"/>
      <c r="C79" s="129" t="str">
        <f>CONCATENATE("Итого по разделу: ",IF(Source!G37&lt;&gt;"Новый раздел",Source!G37,""))</f>
        <v>Итого по разделу: Демонтажные работы</v>
      </c>
      <c r="D79" s="129"/>
      <c r="E79" s="129"/>
      <c r="F79" s="129"/>
      <c r="G79" s="64"/>
      <c r="H79" s="65">
        <f>IF(SUM(T39:T78)=0,"-",SUM(T39:T78))</f>
        <v>20076.11</v>
      </c>
    </row>
    <row r="80" spans="1:8" ht="15">
      <c r="A80" s="64"/>
      <c r="B80" s="64"/>
      <c r="C80" s="64"/>
      <c r="D80" s="64"/>
      <c r="E80" s="64"/>
      <c r="F80" s="64"/>
      <c r="G80" s="64"/>
      <c r="H80" s="64"/>
    </row>
    <row r="83" spans="1:8" ht="16.5">
      <c r="A83" s="145" t="str">
        <f>CONCATENATE("Раздел: ",IF(Source!G67&lt;&gt;"Новый раздел",Source!G67,""))</f>
        <v>Раздел: Монтажные работы</v>
      </c>
      <c r="B83" s="145"/>
      <c r="C83" s="145"/>
      <c r="D83" s="145"/>
      <c r="E83" s="145"/>
      <c r="F83" s="145"/>
      <c r="G83" s="145"/>
      <c r="H83" s="145"/>
    </row>
    <row r="84" spans="1:28" ht="28.5">
      <c r="A84" s="74">
        <v>4</v>
      </c>
      <c r="B84" s="74">
        <v>4</v>
      </c>
      <c r="C84" s="74" t="str">
        <f>Source!G72</f>
        <v>Устройство выравнивающих стяжек: цементно-песчаных толщиной 15 мм</v>
      </c>
      <c r="D84" s="74" t="str">
        <f>Source!F72</f>
        <v>12-01-017-01</v>
      </c>
      <c r="E84" s="58" t="str">
        <f>Source!H72</f>
        <v>100 м2</v>
      </c>
      <c r="F84" s="14">
        <f>Source!I72</f>
        <v>0.97</v>
      </c>
      <c r="G84" s="44">
        <f>Source!AB72</f>
        <v>515.53</v>
      </c>
      <c r="H84" s="44">
        <f>Source!O72</f>
        <v>12033.16</v>
      </c>
      <c r="T84">
        <f>Source!O72</f>
        <v>12033.16</v>
      </c>
      <c r="U84">
        <f>Source!P72</f>
        <v>239.03</v>
      </c>
      <c r="V84">
        <f>Source!S72</f>
        <v>8744.91</v>
      </c>
      <c r="W84">
        <f>Source!Q72</f>
        <v>3049.22</v>
      </c>
      <c r="X84">
        <f>Source!R72</f>
        <v>989.89</v>
      </c>
      <c r="Y84">
        <f>Source!U72</f>
        <v>27.10665</v>
      </c>
      <c r="Z84">
        <f>Source!V72</f>
        <v>2.3522499999999997</v>
      </c>
      <c r="AA84">
        <f>Source!X72</f>
        <v>9549.84</v>
      </c>
      <c r="AB84">
        <f>Source!Y72</f>
        <v>4716.51</v>
      </c>
    </row>
    <row r="85" spans="3:8" ht="14.25">
      <c r="C85" s="45" t="str">
        <f>"Объем: "&amp;Source!I72&amp;"=97/"&amp;"100"</f>
        <v>Объем: 0,97=97/100</v>
      </c>
      <c r="F85" s="14"/>
      <c r="G85" s="14"/>
      <c r="H85" s="14"/>
    </row>
    <row r="86" spans="3:4" ht="63.75">
      <c r="C86" s="45" t="s">
        <v>509</v>
      </c>
      <c r="D86" s="45" t="str">
        <f>Source!BO72</f>
        <v>Письмо Минстроя России от 28.08.2023 № 52355-ИФ/09</v>
      </c>
    </row>
    <row r="87" spans="3:4" ht="12.75">
      <c r="C87" s="45" t="s">
        <v>510</v>
      </c>
      <c r="D87" s="45">
        <f>Source!BA72</f>
        <v>37.34</v>
      </c>
    </row>
    <row r="88" spans="3:4" ht="12.75">
      <c r="C88" s="45" t="s">
        <v>511</v>
      </c>
      <c r="D88" s="45">
        <f>Source!BB72</f>
        <v>13.24</v>
      </c>
    </row>
    <row r="89" spans="3:4" ht="12.75">
      <c r="C89" s="45" t="s">
        <v>512</v>
      </c>
      <c r="D89" s="45">
        <f>Source!BC72</f>
        <v>6.72</v>
      </c>
    </row>
    <row r="90" spans="3:4" ht="12.75">
      <c r="C90" s="45" t="s">
        <v>513</v>
      </c>
      <c r="D90" s="45">
        <f>Source!BS72</f>
        <v>37.34</v>
      </c>
    </row>
    <row r="91" spans="3:8" ht="12.75">
      <c r="C91" s="45" t="s">
        <v>517</v>
      </c>
      <c r="D91" s="166" t="s">
        <v>117</v>
      </c>
      <c r="E91" s="166"/>
      <c r="F91" s="166"/>
      <c r="G91" s="166"/>
      <c r="H91" s="166"/>
    </row>
    <row r="92" spans="3:8" ht="12.75">
      <c r="C92" s="45" t="s">
        <v>518</v>
      </c>
      <c r="D92" s="166" t="s">
        <v>117</v>
      </c>
      <c r="E92" s="166"/>
      <c r="F92" s="166"/>
      <c r="G92" s="166"/>
      <c r="H92" s="166"/>
    </row>
    <row r="93" spans="3:8" ht="12.75">
      <c r="C93" s="45" t="s">
        <v>519</v>
      </c>
      <c r="D93" s="166" t="s">
        <v>118</v>
      </c>
      <c r="E93" s="166"/>
      <c r="F93" s="166"/>
      <c r="G93" s="166"/>
      <c r="H93" s="166"/>
    </row>
    <row r="94" spans="3:8" ht="12.75">
      <c r="C94" s="45" t="s">
        <v>520</v>
      </c>
      <c r="D94" s="166" t="s">
        <v>118</v>
      </c>
      <c r="E94" s="166"/>
      <c r="F94" s="166"/>
      <c r="G94" s="166"/>
      <c r="H94" s="166"/>
    </row>
    <row r="95" spans="3:8" ht="12.75">
      <c r="C95" s="45" t="s">
        <v>521</v>
      </c>
      <c r="D95" s="166" t="s">
        <v>117</v>
      </c>
      <c r="E95" s="166"/>
      <c r="F95" s="166"/>
      <c r="G95" s="166"/>
      <c r="H95" s="166"/>
    </row>
    <row r="96" spans="3:8" ht="12.75">
      <c r="C96" s="45" t="s">
        <v>514</v>
      </c>
      <c r="D96" s="166" t="s">
        <v>119</v>
      </c>
      <c r="E96" s="166"/>
      <c r="F96" s="166"/>
      <c r="G96" s="166"/>
      <c r="H96" s="166"/>
    </row>
    <row r="97" spans="3:8" ht="12.75">
      <c r="C97" s="45" t="s">
        <v>515</v>
      </c>
      <c r="D97" s="166" t="s">
        <v>120</v>
      </c>
      <c r="E97" s="166"/>
      <c r="F97" s="166"/>
      <c r="G97" s="166"/>
      <c r="H97" s="166"/>
    </row>
    <row r="98" spans="1:28" ht="28.5">
      <c r="A98" s="74" t="s">
        <v>126</v>
      </c>
      <c r="B98" s="74" t="s">
        <v>126</v>
      </c>
      <c r="C98" s="74" t="str">
        <f>Source!G74</f>
        <v>Смеси сухие цементные (пескобетон), класс B22,5 (M300)</v>
      </c>
      <c r="D98" s="74" t="str">
        <f>Source!F74</f>
        <v>04.3.02.11-0011</v>
      </c>
      <c r="E98" s="58" t="str">
        <f>Source!H74</f>
        <v>т</v>
      </c>
      <c r="F98" s="14">
        <f>Source!I74</f>
        <v>2.626727</v>
      </c>
      <c r="G98" s="44">
        <f>Source!AB74</f>
        <v>1243.05</v>
      </c>
      <c r="H98" s="44">
        <f>Source!O74</f>
        <v>21941.83</v>
      </c>
      <c r="T98">
        <f>Source!O74</f>
        <v>21941.83</v>
      </c>
      <c r="U98">
        <f>Source!P74</f>
        <v>21941.83</v>
      </c>
      <c r="V98">
        <f>Source!S74</f>
        <v>0</v>
      </c>
      <c r="W98">
        <f>Source!Q74</f>
        <v>0</v>
      </c>
      <c r="X98">
        <f>Source!R74</f>
        <v>0</v>
      </c>
      <c r="Y98">
        <f>Source!U74</f>
        <v>0</v>
      </c>
      <c r="Z98">
        <f>Source!V74</f>
        <v>0</v>
      </c>
      <c r="AA98">
        <f>Source!X74</f>
        <v>0</v>
      </c>
      <c r="AB98">
        <f>Source!Y74</f>
        <v>0</v>
      </c>
    </row>
    <row r="99" spans="3:8" ht="63.75">
      <c r="C99" s="45" t="s">
        <v>509</v>
      </c>
      <c r="D99" s="45" t="str">
        <f>Source!BO74</f>
        <v>Письмо Минстроя России от 28.08.2023 № 52355-ИФ/09</v>
      </c>
      <c r="F99" s="14"/>
      <c r="G99" s="14"/>
      <c r="H99" s="14"/>
    </row>
    <row r="100" spans="3:4" ht="12.75">
      <c r="C100" s="45" t="s">
        <v>512</v>
      </c>
      <c r="D100" s="45">
        <f>Source!BC74</f>
        <v>6.72</v>
      </c>
    </row>
    <row r="101" spans="1:28" ht="57">
      <c r="A101" s="74">
        <v>5</v>
      </c>
      <c r="B101" s="74">
        <v>5</v>
      </c>
      <c r="C101" s="74" t="str">
        <f>Source!G76</f>
        <v>Устройство выравнивающих стяжек: на каждый 1 мм изменения толщины добавлять или исключать к расценке 12-01-017-01 (К=15, до 30 мм)</v>
      </c>
      <c r="D101" s="74" t="str">
        <f>Source!F76</f>
        <v>12-01-017-02</v>
      </c>
      <c r="E101" s="58" t="str">
        <f>Source!H76</f>
        <v>100 м2</v>
      </c>
      <c r="F101" s="14">
        <f>Source!I76</f>
        <v>0.97</v>
      </c>
      <c r="G101" s="44">
        <f>Source!AB76</f>
        <v>198.92</v>
      </c>
      <c r="H101" s="44">
        <f>Source!O76</f>
        <v>6038.92</v>
      </c>
      <c r="T101">
        <f>Source!O76</f>
        <v>6038.92</v>
      </c>
      <c r="U101">
        <f>Source!P76</f>
        <v>0</v>
      </c>
      <c r="V101">
        <f>Source!S76</f>
        <v>5398.2</v>
      </c>
      <c r="W101">
        <f>Source!Q76</f>
        <v>640.72</v>
      </c>
      <c r="X101">
        <f>Source!R76</f>
        <v>231.08</v>
      </c>
      <c r="Y101">
        <f>Source!U76</f>
        <v>16.732499999999998</v>
      </c>
      <c r="Z101">
        <f>Source!V76</f>
        <v>0.545625</v>
      </c>
      <c r="AA101">
        <f>Source!X76</f>
        <v>5522.32</v>
      </c>
      <c r="AB101">
        <f>Source!Y76</f>
        <v>2727.39</v>
      </c>
    </row>
    <row r="102" spans="3:8" ht="14.25">
      <c r="C102" s="45" t="str">
        <f>"Объем: "&amp;Source!I76&amp;"=97/"&amp;"100"</f>
        <v>Объем: 0,97=97/100</v>
      </c>
      <c r="F102" s="14"/>
      <c r="G102" s="14"/>
      <c r="H102" s="14"/>
    </row>
    <row r="103" spans="3:4" ht="63.75">
      <c r="C103" s="45" t="s">
        <v>509</v>
      </c>
      <c r="D103" s="45" t="str">
        <f>Source!BO76</f>
        <v>Письмо Минстроя России от 28.08.2023 № 52355-ИФ/09</v>
      </c>
    </row>
    <row r="104" spans="3:4" ht="12.75">
      <c r="C104" s="45" t="s">
        <v>510</v>
      </c>
      <c r="D104" s="45">
        <f>Source!BA76</f>
        <v>37.34</v>
      </c>
    </row>
    <row r="105" spans="3:4" ht="12.75">
      <c r="C105" s="45" t="s">
        <v>511</v>
      </c>
      <c r="D105" s="45">
        <f>Source!BB76</f>
        <v>13.24</v>
      </c>
    </row>
    <row r="106" spans="3:4" ht="12.75">
      <c r="C106" s="45" t="s">
        <v>512</v>
      </c>
      <c r="D106" s="45">
        <f>Source!BC76</f>
        <v>6.72</v>
      </c>
    </row>
    <row r="107" spans="3:4" ht="12.75">
      <c r="C107" s="45" t="s">
        <v>513</v>
      </c>
      <c r="D107" s="45">
        <f>Source!BS76</f>
        <v>37.34</v>
      </c>
    </row>
    <row r="108" spans="3:8" ht="12.75">
      <c r="C108" s="45" t="s">
        <v>516</v>
      </c>
      <c r="D108" s="166" t="s">
        <v>135</v>
      </c>
      <c r="E108" s="166"/>
      <c r="F108" s="166"/>
      <c r="G108" s="166"/>
      <c r="H108" s="166"/>
    </row>
    <row r="109" spans="3:8" ht="12.75">
      <c r="C109" s="45" t="s">
        <v>517</v>
      </c>
      <c r="D109" s="166" t="s">
        <v>136</v>
      </c>
      <c r="E109" s="166"/>
      <c r="F109" s="166"/>
      <c r="G109" s="166"/>
      <c r="H109" s="166"/>
    </row>
    <row r="110" spans="3:8" ht="12.75">
      <c r="C110" s="45" t="s">
        <v>518</v>
      </c>
      <c r="D110" s="166" t="s">
        <v>136</v>
      </c>
      <c r="E110" s="166"/>
      <c r="F110" s="166"/>
      <c r="G110" s="166"/>
      <c r="H110" s="166"/>
    </row>
    <row r="111" spans="3:8" ht="12.75">
      <c r="C111" s="45" t="s">
        <v>519</v>
      </c>
      <c r="D111" s="166" t="s">
        <v>137</v>
      </c>
      <c r="E111" s="166"/>
      <c r="F111" s="166"/>
      <c r="G111" s="166"/>
      <c r="H111" s="166"/>
    </row>
    <row r="112" spans="3:8" ht="12.75">
      <c r="C112" s="45" t="s">
        <v>520</v>
      </c>
      <c r="D112" s="166" t="s">
        <v>137</v>
      </c>
      <c r="E112" s="166"/>
      <c r="F112" s="166"/>
      <c r="G112" s="166"/>
      <c r="H112" s="166"/>
    </row>
    <row r="113" spans="3:8" ht="12.75">
      <c r="C113" s="45" t="s">
        <v>521</v>
      </c>
      <c r="D113" s="166" t="s">
        <v>136</v>
      </c>
      <c r="E113" s="166"/>
      <c r="F113" s="166"/>
      <c r="G113" s="166"/>
      <c r="H113" s="166"/>
    </row>
    <row r="114" spans="3:8" ht="12.75">
      <c r="C114" s="45" t="s">
        <v>514</v>
      </c>
      <c r="D114" s="166" t="s">
        <v>119</v>
      </c>
      <c r="E114" s="166"/>
      <c r="F114" s="166"/>
      <c r="G114" s="166"/>
      <c r="H114" s="166"/>
    </row>
    <row r="115" spans="3:8" ht="12.75">
      <c r="C115" s="45" t="s">
        <v>515</v>
      </c>
      <c r="D115" s="166" t="s">
        <v>120</v>
      </c>
      <c r="E115" s="166"/>
      <c r="F115" s="166"/>
      <c r="G115" s="166"/>
      <c r="H115" s="166"/>
    </row>
    <row r="116" spans="1:28" ht="28.5">
      <c r="A116" s="74" t="s">
        <v>138</v>
      </c>
      <c r="B116" s="74" t="s">
        <v>138</v>
      </c>
      <c r="C116" s="74" t="str">
        <f>Source!G78</f>
        <v>Смеси сухие цементные (пескобетон), класс B22,5 (M300)</v>
      </c>
      <c r="D116" s="74" t="str">
        <f>Source!F78</f>
        <v>04.3.02.11-0011</v>
      </c>
      <c r="E116" s="58" t="str">
        <f>Source!H78</f>
        <v>т</v>
      </c>
      <c r="F116" s="14">
        <f>Source!I78</f>
        <v>2.626464</v>
      </c>
      <c r="G116" s="44">
        <f>Source!AB78</f>
        <v>1243.05</v>
      </c>
      <c r="H116" s="44">
        <f>Source!O78</f>
        <v>21939.63</v>
      </c>
      <c r="T116">
        <f>Source!O78</f>
        <v>21939.63</v>
      </c>
      <c r="U116">
        <f>Source!P78</f>
        <v>21939.63</v>
      </c>
      <c r="V116">
        <f>Source!S78</f>
        <v>0</v>
      </c>
      <c r="W116">
        <f>Source!Q78</f>
        <v>0</v>
      </c>
      <c r="X116">
        <f>Source!R78</f>
        <v>0</v>
      </c>
      <c r="Y116">
        <f>Source!U78</f>
        <v>0</v>
      </c>
      <c r="Z116">
        <f>Source!V78</f>
        <v>0</v>
      </c>
      <c r="AA116">
        <f>Source!X78</f>
        <v>0</v>
      </c>
      <c r="AB116">
        <f>Source!Y78</f>
        <v>0</v>
      </c>
    </row>
    <row r="117" spans="3:8" ht="63.75">
      <c r="C117" s="45" t="s">
        <v>509</v>
      </c>
      <c r="D117" s="45" t="str">
        <f>Source!BO78</f>
        <v>Письмо Минстроя России от 28.08.2023 № 52355-ИФ/09</v>
      </c>
      <c r="F117" s="14"/>
      <c r="G117" s="14"/>
      <c r="H117" s="14"/>
    </row>
    <row r="118" spans="3:4" ht="12.75">
      <c r="C118" s="45" t="s">
        <v>512</v>
      </c>
      <c r="D118" s="45">
        <f>Source!BC78</f>
        <v>6.72</v>
      </c>
    </row>
    <row r="119" spans="1:28" ht="57">
      <c r="A119" s="74">
        <v>6</v>
      </c>
      <c r="B119" s="74">
        <v>6</v>
      </c>
      <c r="C119" s="74" t="str">
        <f>Source!G80</f>
        <v>Огрунтовка оснований из бетона или раствора под водоизоляционный кровельный ковер: готовой эмульсией битумной</v>
      </c>
      <c r="D119" s="74" t="str">
        <f>Source!F80</f>
        <v>12-01-016-02</v>
      </c>
      <c r="E119" s="58" t="str">
        <f>Source!H80</f>
        <v>100 м2</v>
      </c>
      <c r="F119" s="14">
        <f>Source!I80</f>
        <v>2.34</v>
      </c>
      <c r="G119" s="44">
        <f>Source!AB80</f>
        <v>121.43</v>
      </c>
      <c r="H119" s="44">
        <f>Source!O80</f>
        <v>3976.27</v>
      </c>
      <c r="T119">
        <f>Source!O80</f>
        <v>3976.27</v>
      </c>
      <c r="U119">
        <f>Source!P80</f>
        <v>1415.23</v>
      </c>
      <c r="V119">
        <f>Source!S80</f>
        <v>2458.75</v>
      </c>
      <c r="W119">
        <f>Source!Q80</f>
        <v>102.29</v>
      </c>
      <c r="X119">
        <f>Source!R80</f>
        <v>50.68</v>
      </c>
      <c r="Y119">
        <f>Source!U80</f>
        <v>7.534799999999999</v>
      </c>
      <c r="Z119">
        <f>Source!V80</f>
        <v>0.11699999999999999</v>
      </c>
      <c r="AA119">
        <f>Source!X80</f>
        <v>2461.75</v>
      </c>
      <c r="AB119">
        <f>Source!Y80</f>
        <v>1215.82</v>
      </c>
    </row>
    <row r="120" spans="3:8" ht="14.25">
      <c r="C120" s="45" t="str">
        <f>"Объем: "&amp;Source!I80&amp;"=234/"&amp;"100"</f>
        <v>Объем: 2,34=234/100</v>
      </c>
      <c r="F120" s="14"/>
      <c r="G120" s="14"/>
      <c r="H120" s="14"/>
    </row>
    <row r="121" spans="3:4" ht="63.75">
      <c r="C121" s="45" t="s">
        <v>509</v>
      </c>
      <c r="D121" s="45" t="str">
        <f>Source!BO80</f>
        <v>Письмо Минстроя России от 28.08.2023 № 52355-ИФ/09</v>
      </c>
    </row>
    <row r="122" spans="3:4" ht="12.75">
      <c r="C122" s="45" t="s">
        <v>510</v>
      </c>
      <c r="D122" s="45">
        <f>Source!BA80</f>
        <v>37.34</v>
      </c>
    </row>
    <row r="123" spans="3:4" ht="12.75">
      <c r="C123" s="45" t="s">
        <v>511</v>
      </c>
      <c r="D123" s="45">
        <f>Source!BB80</f>
        <v>13.24</v>
      </c>
    </row>
    <row r="124" spans="3:4" ht="12.75">
      <c r="C124" s="45" t="s">
        <v>512</v>
      </c>
      <c r="D124" s="45">
        <f>Source!BC80</f>
        <v>6.72</v>
      </c>
    </row>
    <row r="125" spans="3:4" ht="12.75">
      <c r="C125" s="45" t="s">
        <v>513</v>
      </c>
      <c r="D125" s="45">
        <f>Source!BS80</f>
        <v>37.34</v>
      </c>
    </row>
    <row r="126" spans="3:8" ht="12.75">
      <c r="C126" s="45" t="s">
        <v>517</v>
      </c>
      <c r="D126" s="166" t="s">
        <v>117</v>
      </c>
      <c r="E126" s="166"/>
      <c r="F126" s="166"/>
      <c r="G126" s="166"/>
      <c r="H126" s="166"/>
    </row>
    <row r="127" spans="3:8" ht="12.75">
      <c r="C127" s="45" t="s">
        <v>518</v>
      </c>
      <c r="D127" s="166" t="s">
        <v>117</v>
      </c>
      <c r="E127" s="166"/>
      <c r="F127" s="166"/>
      <c r="G127" s="166"/>
      <c r="H127" s="166"/>
    </row>
    <row r="128" spans="3:8" ht="12.75">
      <c r="C128" s="45" t="s">
        <v>519</v>
      </c>
      <c r="D128" s="166" t="s">
        <v>118</v>
      </c>
      <c r="E128" s="166"/>
      <c r="F128" s="166"/>
      <c r="G128" s="166"/>
      <c r="H128" s="166"/>
    </row>
    <row r="129" spans="3:8" ht="12.75">
      <c r="C129" s="45" t="s">
        <v>520</v>
      </c>
      <c r="D129" s="166" t="s">
        <v>118</v>
      </c>
      <c r="E129" s="166"/>
      <c r="F129" s="166"/>
      <c r="G129" s="166"/>
      <c r="H129" s="166"/>
    </row>
    <row r="130" spans="3:8" ht="12.75">
      <c r="C130" s="45" t="s">
        <v>521</v>
      </c>
      <c r="D130" s="166" t="s">
        <v>117</v>
      </c>
      <c r="E130" s="166"/>
      <c r="F130" s="166"/>
      <c r="G130" s="166"/>
      <c r="H130" s="166"/>
    </row>
    <row r="131" spans="3:8" ht="12.75">
      <c r="C131" s="45" t="s">
        <v>514</v>
      </c>
      <c r="D131" s="166" t="s">
        <v>119</v>
      </c>
      <c r="E131" s="166"/>
      <c r="F131" s="166"/>
      <c r="G131" s="166"/>
      <c r="H131" s="166"/>
    </row>
    <row r="132" spans="3:8" ht="12.75">
      <c r="C132" s="45" t="s">
        <v>515</v>
      </c>
      <c r="D132" s="166" t="s">
        <v>120</v>
      </c>
      <c r="E132" s="166"/>
      <c r="F132" s="166"/>
      <c r="G132" s="166"/>
      <c r="H132" s="166"/>
    </row>
    <row r="133" spans="1:28" ht="42.75">
      <c r="A133" s="74">
        <v>7</v>
      </c>
      <c r="B133" s="74">
        <v>7</v>
      </c>
      <c r="C133" s="74" t="str">
        <f>Source!G82</f>
        <v>Устройство мелких покрытий (брандмауэры, парапеты, свесы и т.п.) из листовой оцинкованной стали</v>
      </c>
      <c r="D133" s="74" t="str">
        <f>Source!F82</f>
        <v>12-01-010-01</v>
      </c>
      <c r="E133" s="58" t="str">
        <f>Source!H82</f>
        <v>100 м2</v>
      </c>
      <c r="F133" s="14">
        <f>Source!I82</f>
        <v>0.03</v>
      </c>
      <c r="G133" s="44">
        <f>Source!AB82</f>
        <v>7497.02</v>
      </c>
      <c r="H133" s="44">
        <f>Source!O82</f>
        <v>2392.63</v>
      </c>
      <c r="T133">
        <f>Source!O82</f>
        <v>2392.63</v>
      </c>
      <c r="U133">
        <f>Source!P82</f>
        <v>1313.66</v>
      </c>
      <c r="V133">
        <f>Source!S82</f>
        <v>1068.1</v>
      </c>
      <c r="W133">
        <f>Source!Q82</f>
        <v>10.87</v>
      </c>
      <c r="X133">
        <f>Source!R82</f>
        <v>4.92</v>
      </c>
      <c r="Y133">
        <f>Source!U82</f>
        <v>3.3533999999999997</v>
      </c>
      <c r="Z133">
        <f>Source!V82</f>
        <v>0.010125</v>
      </c>
      <c r="AA133">
        <f>Source!X82</f>
        <v>1052.63</v>
      </c>
      <c r="AB133">
        <f>Source!Y82</f>
        <v>519.88</v>
      </c>
    </row>
    <row r="134" spans="3:8" ht="14.25">
      <c r="C134" s="45" t="str">
        <f>"Объем: "&amp;Source!I82&amp;"=3/"&amp;"100"</f>
        <v>Объем: 0,03=3/100</v>
      </c>
      <c r="F134" s="14"/>
      <c r="G134" s="14"/>
      <c r="H134" s="14"/>
    </row>
    <row r="135" spans="3:4" ht="63.75">
      <c r="C135" s="45" t="s">
        <v>509</v>
      </c>
      <c r="D135" s="45" t="str">
        <f>Source!BO82</f>
        <v>Письмо Минстроя России от 28.08.2023 № 52355-ИФ/09</v>
      </c>
    </row>
    <row r="136" spans="3:4" ht="12.75">
      <c r="C136" s="45" t="s">
        <v>510</v>
      </c>
      <c r="D136" s="45">
        <f>Source!BA82</f>
        <v>37.34</v>
      </c>
    </row>
    <row r="137" spans="3:4" ht="12.75">
      <c r="C137" s="45" t="s">
        <v>511</v>
      </c>
      <c r="D137" s="45">
        <f>Source!BB82</f>
        <v>13.24</v>
      </c>
    </row>
    <row r="138" spans="3:4" ht="12.75">
      <c r="C138" s="45" t="s">
        <v>512</v>
      </c>
      <c r="D138" s="45">
        <f>Source!BC82</f>
        <v>6.72</v>
      </c>
    </row>
    <row r="139" spans="3:4" ht="12.75">
      <c r="C139" s="45" t="s">
        <v>513</v>
      </c>
      <c r="D139" s="45">
        <f>Source!BS82</f>
        <v>37.34</v>
      </c>
    </row>
    <row r="140" spans="3:8" ht="12.75">
      <c r="C140" s="45" t="s">
        <v>517</v>
      </c>
      <c r="D140" s="166" t="s">
        <v>117</v>
      </c>
      <c r="E140" s="166"/>
      <c r="F140" s="166"/>
      <c r="G140" s="166"/>
      <c r="H140" s="166"/>
    </row>
    <row r="141" spans="3:8" ht="12.75">
      <c r="C141" s="45" t="s">
        <v>518</v>
      </c>
      <c r="D141" s="166" t="s">
        <v>117</v>
      </c>
      <c r="E141" s="166"/>
      <c r="F141" s="166"/>
      <c r="G141" s="166"/>
      <c r="H141" s="166"/>
    </row>
    <row r="142" spans="3:8" ht="12.75">
      <c r="C142" s="45" t="s">
        <v>519</v>
      </c>
      <c r="D142" s="166" t="s">
        <v>118</v>
      </c>
      <c r="E142" s="166"/>
      <c r="F142" s="166"/>
      <c r="G142" s="166"/>
      <c r="H142" s="166"/>
    </row>
    <row r="143" spans="3:8" ht="12.75">
      <c r="C143" s="45" t="s">
        <v>520</v>
      </c>
      <c r="D143" s="166" t="s">
        <v>118</v>
      </c>
      <c r="E143" s="166"/>
      <c r="F143" s="166"/>
      <c r="G143" s="166"/>
      <c r="H143" s="166"/>
    </row>
    <row r="144" spans="3:8" ht="12.75">
      <c r="C144" s="45" t="s">
        <v>521</v>
      </c>
      <c r="D144" s="166" t="s">
        <v>117</v>
      </c>
      <c r="E144" s="166"/>
      <c r="F144" s="166"/>
      <c r="G144" s="166"/>
      <c r="H144" s="166"/>
    </row>
    <row r="145" spans="3:8" ht="12.75">
      <c r="C145" s="45" t="s">
        <v>514</v>
      </c>
      <c r="D145" s="166" t="s">
        <v>119</v>
      </c>
      <c r="E145" s="166"/>
      <c r="F145" s="166"/>
      <c r="G145" s="166"/>
      <c r="H145" s="166"/>
    </row>
    <row r="146" spans="3:8" ht="12.75">
      <c r="C146" s="45" t="s">
        <v>515</v>
      </c>
      <c r="D146" s="166" t="s">
        <v>120</v>
      </c>
      <c r="E146" s="166"/>
      <c r="F146" s="166"/>
      <c r="G146" s="166"/>
      <c r="H146" s="166"/>
    </row>
    <row r="147" spans="1:28" ht="28.5">
      <c r="A147" s="74">
        <v>8</v>
      </c>
      <c r="B147" s="74">
        <v>8</v>
      </c>
      <c r="C147" s="74" t="str">
        <f>Source!G84</f>
        <v>Устройство кровель плоских из наплавляемых материалов в два слоя</v>
      </c>
      <c r="D147" s="74" t="str">
        <f>Source!F84</f>
        <v>12-01-002-09</v>
      </c>
      <c r="E147" s="58" t="str">
        <f>Source!H84</f>
        <v>100 м2</v>
      </c>
      <c r="F147" s="14">
        <f>Source!I84</f>
        <v>2.34</v>
      </c>
      <c r="G147" s="44">
        <f>Source!AB84</f>
        <v>368.36</v>
      </c>
      <c r="H147" s="44">
        <f>Source!O84</f>
        <v>17384.86</v>
      </c>
      <c r="T147">
        <f>Source!O84</f>
        <v>17384.86</v>
      </c>
      <c r="U147">
        <f>Source!P84</f>
        <v>2867.1</v>
      </c>
      <c r="V147">
        <f>Source!S84</f>
        <v>13563.31</v>
      </c>
      <c r="W147">
        <f>Source!Q84</f>
        <v>954.45</v>
      </c>
      <c r="X147">
        <f>Source!R84</f>
        <v>409.79</v>
      </c>
      <c r="Y147">
        <f>Source!U84</f>
        <v>38.642759999999996</v>
      </c>
      <c r="Z147">
        <f>Source!V84</f>
        <v>0.84825</v>
      </c>
      <c r="AA147">
        <f>Source!X84</f>
        <v>13707.61</v>
      </c>
      <c r="AB147">
        <f>Source!Y84</f>
        <v>6769.97</v>
      </c>
    </row>
    <row r="148" spans="3:8" ht="14.25">
      <c r="C148" s="45" t="str">
        <f>"Объем: "&amp;Source!I84&amp;"=234/"&amp;"100"</f>
        <v>Объем: 2,34=234/100</v>
      </c>
      <c r="F148" s="14"/>
      <c r="G148" s="14"/>
      <c r="H148" s="14"/>
    </row>
    <row r="149" spans="3:4" ht="63.75">
      <c r="C149" s="45" t="s">
        <v>509</v>
      </c>
      <c r="D149" s="45" t="str">
        <f>Source!BO84</f>
        <v>Письмо Минстроя России от 28.08.2023 № 52355-ИФ/09</v>
      </c>
    </row>
    <row r="150" spans="3:4" ht="12.75">
      <c r="C150" s="45" t="s">
        <v>510</v>
      </c>
      <c r="D150" s="45">
        <f>Source!BA84</f>
        <v>37.34</v>
      </c>
    </row>
    <row r="151" spans="3:4" ht="12.75">
      <c r="C151" s="45" t="s">
        <v>511</v>
      </c>
      <c r="D151" s="45">
        <f>Source!BB84</f>
        <v>13.24</v>
      </c>
    </row>
    <row r="152" spans="3:4" ht="12.75">
      <c r="C152" s="45" t="s">
        <v>512</v>
      </c>
      <c r="D152" s="45">
        <f>Source!BC84</f>
        <v>6.72</v>
      </c>
    </row>
    <row r="153" spans="3:4" ht="12.75">
      <c r="C153" s="45" t="s">
        <v>513</v>
      </c>
      <c r="D153" s="45">
        <f>Source!BS84</f>
        <v>37.34</v>
      </c>
    </row>
    <row r="154" spans="3:8" ht="12.75">
      <c r="C154" s="45" t="s">
        <v>517</v>
      </c>
      <c r="D154" s="166" t="s">
        <v>117</v>
      </c>
      <c r="E154" s="166"/>
      <c r="F154" s="166"/>
      <c r="G154" s="166"/>
      <c r="H154" s="166"/>
    </row>
    <row r="155" spans="3:8" ht="12.75">
      <c r="C155" s="45" t="s">
        <v>518</v>
      </c>
      <c r="D155" s="166" t="s">
        <v>117</v>
      </c>
      <c r="E155" s="166"/>
      <c r="F155" s="166"/>
      <c r="G155" s="166"/>
      <c r="H155" s="166"/>
    </row>
    <row r="156" spans="3:8" ht="12.75">
      <c r="C156" s="45" t="s">
        <v>519</v>
      </c>
      <c r="D156" s="166" t="s">
        <v>118</v>
      </c>
      <c r="E156" s="166"/>
      <c r="F156" s="166"/>
      <c r="G156" s="166"/>
      <c r="H156" s="166"/>
    </row>
    <row r="157" spans="3:8" ht="12.75">
      <c r="C157" s="45" t="s">
        <v>520</v>
      </c>
      <c r="D157" s="166" t="s">
        <v>118</v>
      </c>
      <c r="E157" s="166"/>
      <c r="F157" s="166"/>
      <c r="G157" s="166"/>
      <c r="H157" s="166"/>
    </row>
    <row r="158" spans="3:8" ht="12.75">
      <c r="C158" s="45" t="s">
        <v>521</v>
      </c>
      <c r="D158" s="166" t="s">
        <v>117</v>
      </c>
      <c r="E158" s="166"/>
      <c r="F158" s="166"/>
      <c r="G158" s="166"/>
      <c r="H158" s="166"/>
    </row>
    <row r="159" spans="3:8" ht="12.75">
      <c r="C159" s="45" t="s">
        <v>514</v>
      </c>
      <c r="D159" s="166" t="s">
        <v>119</v>
      </c>
      <c r="E159" s="166"/>
      <c r="F159" s="166"/>
      <c r="G159" s="166"/>
      <c r="H159" s="166"/>
    </row>
    <row r="160" spans="3:8" ht="12.75">
      <c r="C160" s="45" t="s">
        <v>515</v>
      </c>
      <c r="D160" s="166" t="s">
        <v>120</v>
      </c>
      <c r="E160" s="166"/>
      <c r="F160" s="166"/>
      <c r="G160" s="166"/>
      <c r="H160" s="166"/>
    </row>
    <row r="161" spans="1:28" ht="114">
      <c r="A161" s="74" t="s">
        <v>151</v>
      </c>
      <c r="B161" s="74" t="s">
        <v>151</v>
      </c>
      <c r="C161" s="74" t="str">
        <f>Source!G86</f>
        <v>Материал рулонный битумно-полимерный кровельный и гидроизоляционный ТПП/ЭПП/ХПП, для нижнего слоя кровли, основа-стеклоткань/полиэстер/стеклохолст, гибкость не выше -25 °C, масса 1 м2 от 3,5 до 4,0 кг, прочность 390-590 Н, теплостойкость не менее 100 °C</v>
      </c>
      <c r="D161" s="74" t="str">
        <f>Source!F86</f>
        <v>12.1.02.15-0122</v>
      </c>
      <c r="E161" s="58" t="str">
        <f>Source!H86</f>
        <v>м2</v>
      </c>
      <c r="F161" s="14">
        <f>Source!I86</f>
        <v>271.44</v>
      </c>
      <c r="G161" s="44">
        <f>Source!AB86</f>
        <v>23.06</v>
      </c>
      <c r="H161" s="44">
        <f>Source!O86</f>
        <v>42063.21</v>
      </c>
      <c r="T161">
        <f>Source!O86</f>
        <v>42063.21</v>
      </c>
      <c r="U161">
        <f>Source!P86</f>
        <v>42063.21</v>
      </c>
      <c r="V161">
        <f>Source!S86</f>
        <v>0</v>
      </c>
      <c r="W161">
        <f>Source!Q86</f>
        <v>0</v>
      </c>
      <c r="X161">
        <f>Source!R86</f>
        <v>0</v>
      </c>
      <c r="Y161">
        <f>Source!U86</f>
        <v>0</v>
      </c>
      <c r="Z161">
        <f>Source!V86</f>
        <v>0</v>
      </c>
      <c r="AA161">
        <f>Source!X86</f>
        <v>0</v>
      </c>
      <c r="AB161">
        <f>Source!Y86</f>
        <v>0</v>
      </c>
    </row>
    <row r="162" spans="3:8" ht="63.75">
      <c r="C162" s="45" t="s">
        <v>509</v>
      </c>
      <c r="D162" s="45" t="str">
        <f>Source!BO86</f>
        <v>Письмо Минстроя России от 28.08.2023 № 52355-ИФ/09</v>
      </c>
      <c r="F162" s="14"/>
      <c r="G162" s="14"/>
      <c r="H162" s="14"/>
    </row>
    <row r="163" spans="3:4" ht="12.75">
      <c r="C163" s="45" t="s">
        <v>512</v>
      </c>
      <c r="D163" s="45">
        <f>Source!BC86</f>
        <v>6.72</v>
      </c>
    </row>
    <row r="164" spans="1:28" ht="114">
      <c r="A164" s="74" t="s">
        <v>156</v>
      </c>
      <c r="B164" s="74" t="s">
        <v>156</v>
      </c>
      <c r="C164" s="74" t="str">
        <f>Source!G88</f>
        <v>Материал рулонный битумно-полимерный кровельный и гидроизоляционный ТКП/ЭКП/ХКП, для верхнего слоя кровли, основа-стеклоткань/полиэстер/стеклохолст, гибкость не выше -25 °C, масса 1 м2 4,5 кг, прочность 390-590 Н, теплостойкость не менее 100 °C</v>
      </c>
      <c r="D164" s="74" t="str">
        <f>Source!F88</f>
        <v>12.1.02.15-0121</v>
      </c>
      <c r="E164" s="58" t="str">
        <f>Source!H88</f>
        <v>м2</v>
      </c>
      <c r="F164" s="14">
        <f>Source!I88</f>
        <v>266.76</v>
      </c>
      <c r="G164" s="44">
        <f>Source!AB88</f>
        <v>25.09</v>
      </c>
      <c r="H164" s="44">
        <f>Source!O88</f>
        <v>44977.02</v>
      </c>
      <c r="T164">
        <f>Source!O88</f>
        <v>44977.02</v>
      </c>
      <c r="U164">
        <f>Source!P88</f>
        <v>44977.02</v>
      </c>
      <c r="V164">
        <f>Source!S88</f>
        <v>0</v>
      </c>
      <c r="W164">
        <f>Source!Q88</f>
        <v>0</v>
      </c>
      <c r="X164">
        <f>Source!R88</f>
        <v>0</v>
      </c>
      <c r="Y164">
        <f>Source!U88</f>
        <v>0</v>
      </c>
      <c r="Z164">
        <f>Source!V88</f>
        <v>0</v>
      </c>
      <c r="AA164">
        <f>Source!X88</f>
        <v>0</v>
      </c>
      <c r="AB164">
        <f>Source!Y88</f>
        <v>0</v>
      </c>
    </row>
    <row r="165" spans="3:8" ht="63.75">
      <c r="C165" s="45" t="s">
        <v>509</v>
      </c>
      <c r="D165" s="45" t="str">
        <f>Source!BO88</f>
        <v>Письмо Минстроя России от 28.08.2023 № 52355-ИФ/09</v>
      </c>
      <c r="F165" s="14"/>
      <c r="G165" s="14"/>
      <c r="H165" s="14"/>
    </row>
    <row r="166" spans="3:4" ht="12.75">
      <c r="C166" s="45" t="s">
        <v>512</v>
      </c>
      <c r="D166" s="45">
        <f>Source!BC88</f>
        <v>6.72</v>
      </c>
    </row>
    <row r="167" spans="1:28" ht="57">
      <c r="A167" s="74">
        <v>9</v>
      </c>
      <c r="B167" s="74">
        <v>9</v>
      </c>
      <c r="C167" s="74" t="str">
        <f>Source!G90</f>
        <v>Устройство примыканий кровель из наплавляемых материалов к стенам и парапетам высотой: до 600 мм без фартуков</v>
      </c>
      <c r="D167" s="74" t="str">
        <f>Source!F90</f>
        <v>12-01-004-04</v>
      </c>
      <c r="E167" s="58" t="str">
        <f>Source!H90</f>
        <v>100 м</v>
      </c>
      <c r="F167" s="14">
        <f>Source!I90</f>
        <v>0.104</v>
      </c>
      <c r="G167" s="44">
        <f>Source!AB90</f>
        <v>930.35</v>
      </c>
      <c r="H167" s="44">
        <f>Source!O90</f>
        <v>1906.45</v>
      </c>
      <c r="T167">
        <f>Source!O90</f>
        <v>1906.45</v>
      </c>
      <c r="U167">
        <f>Source!P90</f>
        <v>323.55</v>
      </c>
      <c r="V167">
        <f>Source!S90</f>
        <v>1455.37</v>
      </c>
      <c r="W167">
        <f>Source!Q90</f>
        <v>127.53</v>
      </c>
      <c r="X167">
        <f>Source!R90</f>
        <v>54.99</v>
      </c>
      <c r="Y167">
        <f>Source!U90</f>
        <v>4.245799999999999</v>
      </c>
      <c r="Z167">
        <f>Source!V90</f>
        <v>0.1118</v>
      </c>
      <c r="AA167">
        <f>Source!X90</f>
        <v>1481.66</v>
      </c>
      <c r="AB167">
        <f>Source!Y90</f>
        <v>731.77</v>
      </c>
    </row>
    <row r="168" spans="3:8" ht="14.25">
      <c r="C168" s="45" t="str">
        <f>"Объем: "&amp;Source!I90&amp;"=10,4/"&amp;"100"</f>
        <v>Объем: 0,104=10,4/100</v>
      </c>
      <c r="F168" s="14"/>
      <c r="G168" s="14"/>
      <c r="H168" s="14"/>
    </row>
    <row r="169" spans="3:4" ht="63.75">
      <c r="C169" s="45" t="s">
        <v>509</v>
      </c>
      <c r="D169" s="45" t="str">
        <f>Source!BO90</f>
        <v>Письмо Минстроя России от 28.08.2023 № 52355-ИФ/09</v>
      </c>
    </row>
    <row r="170" spans="3:4" ht="12.75">
      <c r="C170" s="45" t="s">
        <v>510</v>
      </c>
      <c r="D170" s="45">
        <f>Source!BA90</f>
        <v>37.34</v>
      </c>
    </row>
    <row r="171" spans="3:4" ht="12.75">
      <c r="C171" s="45" t="s">
        <v>511</v>
      </c>
      <c r="D171" s="45">
        <f>Source!BB90</f>
        <v>13.24</v>
      </c>
    </row>
    <row r="172" spans="3:4" ht="12.75">
      <c r="C172" s="45" t="s">
        <v>512</v>
      </c>
      <c r="D172" s="45">
        <f>Source!BC90</f>
        <v>6.72</v>
      </c>
    </row>
    <row r="173" spans="3:4" ht="12.75">
      <c r="C173" s="45" t="s">
        <v>513</v>
      </c>
      <c r="D173" s="45">
        <f>Source!BS90</f>
        <v>37.34</v>
      </c>
    </row>
    <row r="174" spans="3:8" ht="12.75">
      <c r="C174" s="45" t="s">
        <v>517</v>
      </c>
      <c r="D174" s="166" t="s">
        <v>117</v>
      </c>
      <c r="E174" s="166"/>
      <c r="F174" s="166"/>
      <c r="G174" s="166"/>
      <c r="H174" s="166"/>
    </row>
    <row r="175" spans="3:8" ht="12.75">
      <c r="C175" s="45" t="s">
        <v>518</v>
      </c>
      <c r="D175" s="166" t="s">
        <v>117</v>
      </c>
      <c r="E175" s="166"/>
      <c r="F175" s="166"/>
      <c r="G175" s="166"/>
      <c r="H175" s="166"/>
    </row>
    <row r="176" spans="3:8" ht="12.75">
      <c r="C176" s="45" t="s">
        <v>519</v>
      </c>
      <c r="D176" s="166" t="s">
        <v>118</v>
      </c>
      <c r="E176" s="166"/>
      <c r="F176" s="166"/>
      <c r="G176" s="166"/>
      <c r="H176" s="166"/>
    </row>
    <row r="177" spans="3:8" ht="12.75">
      <c r="C177" s="45" t="s">
        <v>520</v>
      </c>
      <c r="D177" s="166" t="s">
        <v>118</v>
      </c>
      <c r="E177" s="166"/>
      <c r="F177" s="166"/>
      <c r="G177" s="166"/>
      <c r="H177" s="166"/>
    </row>
    <row r="178" spans="3:8" ht="12.75">
      <c r="C178" s="45" t="s">
        <v>521</v>
      </c>
      <c r="D178" s="166" t="s">
        <v>117</v>
      </c>
      <c r="E178" s="166"/>
      <c r="F178" s="166"/>
      <c r="G178" s="166"/>
      <c r="H178" s="166"/>
    </row>
    <row r="179" spans="3:8" ht="12.75">
      <c r="C179" s="45" t="s">
        <v>514</v>
      </c>
      <c r="D179" s="166" t="s">
        <v>119</v>
      </c>
      <c r="E179" s="166"/>
      <c r="F179" s="166"/>
      <c r="G179" s="166"/>
      <c r="H179" s="166"/>
    </row>
    <row r="180" spans="3:8" ht="12.75">
      <c r="C180" s="45" t="s">
        <v>515</v>
      </c>
      <c r="D180" s="166" t="s">
        <v>120</v>
      </c>
      <c r="E180" s="166"/>
      <c r="F180" s="166"/>
      <c r="G180" s="166"/>
      <c r="H180" s="166"/>
    </row>
    <row r="181" spans="1:28" ht="114">
      <c r="A181" s="74" t="s">
        <v>165</v>
      </c>
      <c r="B181" s="74" t="s">
        <v>165</v>
      </c>
      <c r="C181" s="74" t="str">
        <f>Source!G92</f>
        <v>Материал рулонный битумно-полимерный кровельный и гидроизоляционный ТПП/ЭПП/ХПП, для нижнего слоя кровли, основа-стеклоткань/полиэстер/стеклохолст, гибкость не выше -25 °C, масса 1 м2 от 3,5 до 4,0 кг, прочность 390-590 Н, теплостойкость не менее 100 °C</v>
      </c>
      <c r="D181" s="74" t="str">
        <f>Source!F92</f>
        <v>12.1.02.15-0122</v>
      </c>
      <c r="E181" s="58" t="str">
        <f>Source!H92</f>
        <v>м2</v>
      </c>
      <c r="F181" s="14">
        <f>Source!I92</f>
        <v>12.064</v>
      </c>
      <c r="G181" s="44">
        <f>Source!AB92</f>
        <v>23.06</v>
      </c>
      <c r="H181" s="44">
        <f>Source!O92</f>
        <v>1869.48</v>
      </c>
      <c r="T181">
        <f>Source!O92</f>
        <v>1869.48</v>
      </c>
      <c r="U181">
        <f>Source!P92</f>
        <v>1869.48</v>
      </c>
      <c r="V181">
        <f>Source!S92</f>
        <v>0</v>
      </c>
      <c r="W181">
        <f>Source!Q92</f>
        <v>0</v>
      </c>
      <c r="X181">
        <f>Source!R92</f>
        <v>0</v>
      </c>
      <c r="Y181">
        <f>Source!U92</f>
        <v>0</v>
      </c>
      <c r="Z181">
        <f>Source!V92</f>
        <v>0</v>
      </c>
      <c r="AA181">
        <f>Source!X92</f>
        <v>0</v>
      </c>
      <c r="AB181">
        <f>Source!Y92</f>
        <v>0</v>
      </c>
    </row>
    <row r="182" spans="3:8" ht="63.75">
      <c r="C182" s="45" t="s">
        <v>509</v>
      </c>
      <c r="D182" s="45" t="str">
        <f>Source!BO92</f>
        <v>Письмо Минстроя России от 28.08.2023 № 52355-ИФ/09</v>
      </c>
      <c r="F182" s="14"/>
      <c r="G182" s="14"/>
      <c r="H182" s="14"/>
    </row>
    <row r="183" spans="3:4" ht="12.75">
      <c r="C183" s="45" t="s">
        <v>512</v>
      </c>
      <c r="D183" s="45">
        <f>Source!BC92</f>
        <v>6.72</v>
      </c>
    </row>
    <row r="184" spans="1:28" ht="114">
      <c r="A184" s="74" t="s">
        <v>166</v>
      </c>
      <c r="B184" s="74" t="s">
        <v>166</v>
      </c>
      <c r="C184" s="74" t="str">
        <f>Source!G94</f>
        <v>Материал рулонный битумно-полимерный кровельный и гидроизоляционный ТКП/ЭКП/ХКП, для верхнего слоя кровли, основа-стеклоткань/полиэстер/стеклохолст, гибкость не выше -25 °C, масса 1 м2 4,5 кг, прочность 390-590 Н, теплостойкость не менее 100 °C</v>
      </c>
      <c r="D184" s="74" t="str">
        <f>Source!F94</f>
        <v>12.1.02.15-0121</v>
      </c>
      <c r="E184" s="58" t="str">
        <f>Source!H94</f>
        <v>м2</v>
      </c>
      <c r="F184" s="14">
        <f>Source!I94</f>
        <v>11.856</v>
      </c>
      <c r="G184" s="44">
        <f>Source!AB94</f>
        <v>25.09</v>
      </c>
      <c r="H184" s="44">
        <f>Source!O94</f>
        <v>1998.98</v>
      </c>
      <c r="T184">
        <f>Source!O94</f>
        <v>1998.98</v>
      </c>
      <c r="U184">
        <f>Source!P94</f>
        <v>1998.98</v>
      </c>
      <c r="V184">
        <f>Source!S94</f>
        <v>0</v>
      </c>
      <c r="W184">
        <f>Source!Q94</f>
        <v>0</v>
      </c>
      <c r="X184">
        <f>Source!R94</f>
        <v>0</v>
      </c>
      <c r="Y184">
        <f>Source!U94</f>
        <v>0</v>
      </c>
      <c r="Z184">
        <f>Source!V94</f>
        <v>0</v>
      </c>
      <c r="AA184">
        <f>Source!X94</f>
        <v>0</v>
      </c>
      <c r="AB184">
        <f>Source!Y94</f>
        <v>0</v>
      </c>
    </row>
    <row r="185" spans="3:8" ht="63.75">
      <c r="C185" s="45" t="s">
        <v>509</v>
      </c>
      <c r="D185" s="45" t="str">
        <f>Source!BO94</f>
        <v>Письмо Минстроя России от 28.08.2023 № 52355-ИФ/09</v>
      </c>
      <c r="F185" s="14"/>
      <c r="G185" s="14"/>
      <c r="H185" s="14"/>
    </row>
    <row r="186" spans="3:4" ht="12.75">
      <c r="C186" s="45" t="s">
        <v>512</v>
      </c>
      <c r="D186" s="45">
        <f>Source!BC94</f>
        <v>6.72</v>
      </c>
    </row>
    <row r="188" spans="1:8" ht="15">
      <c r="A188" s="64"/>
      <c r="B188" s="64"/>
      <c r="C188" s="129" t="str">
        <f>CONCATENATE("Итого по разделу: ",IF(Source!G96&lt;&gt;"Новый раздел",Source!G96,""))</f>
        <v>Итого по разделу: Монтажные работы</v>
      </c>
      <c r="D188" s="129"/>
      <c r="E188" s="129"/>
      <c r="F188" s="129"/>
      <c r="G188" s="64"/>
      <c r="H188" s="65">
        <f>IF(SUM(T83:T187)=0,"-",SUM(T83:T187))</f>
        <v>178522.44000000003</v>
      </c>
    </row>
    <row r="189" spans="1:8" ht="15">
      <c r="A189" s="64"/>
      <c r="B189" s="64"/>
      <c r="C189" s="64"/>
      <c r="D189" s="64"/>
      <c r="E189" s="64"/>
      <c r="F189" s="64"/>
      <c r="G189" s="64"/>
      <c r="H189" s="64"/>
    </row>
    <row r="192" spans="1:8" ht="16.5">
      <c r="A192" s="145" t="str">
        <f>CONCATENATE("Раздел: ",IF(Source!G126&lt;&gt;"Новый раздел",Source!G126,""))</f>
        <v>Раздел: Разные работы</v>
      </c>
      <c r="B192" s="145"/>
      <c r="C192" s="145"/>
      <c r="D192" s="145"/>
      <c r="E192" s="145"/>
      <c r="F192" s="145"/>
      <c r="G192" s="145"/>
      <c r="H192" s="145"/>
    </row>
    <row r="193" spans="1:28" ht="28.5">
      <c r="A193" s="74">
        <v>10</v>
      </c>
      <c r="B193" s="74">
        <v>10</v>
      </c>
      <c r="C193" s="74" t="str">
        <f>Source!G131</f>
        <v>Затаривание строительного мусора в мешки</v>
      </c>
      <c r="D193" s="74" t="str">
        <f>Source!F131</f>
        <v>69-15-1</v>
      </c>
      <c r="E193" s="58" t="str">
        <f>Source!H131</f>
        <v>т</v>
      </c>
      <c r="F193" s="14">
        <f>Source!I131</f>
        <v>5.4</v>
      </c>
      <c r="G193" s="44">
        <f>Source!AB131</f>
        <v>23.81</v>
      </c>
      <c r="H193" s="44">
        <f>Source!O131</f>
        <v>2089.24</v>
      </c>
      <c r="T193">
        <f>Source!O131</f>
        <v>2089.24</v>
      </c>
      <c r="U193">
        <f>Source!P131</f>
        <v>595.12</v>
      </c>
      <c r="V193">
        <f>Source!S131</f>
        <v>1494.12</v>
      </c>
      <c r="W193">
        <f>Source!Q131</f>
        <v>0</v>
      </c>
      <c r="X193">
        <f>Source!R131</f>
        <v>0</v>
      </c>
      <c r="Y193">
        <f>Source!U131</f>
        <v>5.562</v>
      </c>
      <c r="Z193">
        <f>Source!V131</f>
        <v>0</v>
      </c>
      <c r="AA193">
        <f>Source!X131</f>
        <v>1374.59</v>
      </c>
      <c r="AB193">
        <f>Source!Y131</f>
        <v>657.41</v>
      </c>
    </row>
    <row r="194" spans="3:8" ht="63.75">
      <c r="C194" s="45" t="s">
        <v>509</v>
      </c>
      <c r="D194" s="45" t="str">
        <f>Source!BO131</f>
        <v>Письмо Минстроя России от 28.08.2023 № 52355-ИФ/09</v>
      </c>
      <c r="F194" s="14"/>
      <c r="G194" s="14"/>
      <c r="H194" s="14"/>
    </row>
    <row r="195" spans="3:4" ht="12.75">
      <c r="C195" s="45" t="s">
        <v>510</v>
      </c>
      <c r="D195" s="45">
        <f>Source!BA131</f>
        <v>37.34</v>
      </c>
    </row>
    <row r="196" spans="3:4" ht="12.75">
      <c r="C196" s="45" t="s">
        <v>511</v>
      </c>
      <c r="D196" s="45">
        <f>Source!BB131</f>
        <v>13.24</v>
      </c>
    </row>
    <row r="197" spans="3:4" ht="12.75">
      <c r="C197" s="45" t="s">
        <v>512</v>
      </c>
      <c r="D197" s="45">
        <f>Source!BC131</f>
        <v>6.72</v>
      </c>
    </row>
    <row r="198" spans="3:4" ht="12.75">
      <c r="C198" s="45" t="s">
        <v>513</v>
      </c>
      <c r="D198" s="45">
        <f>Source!BS131</f>
        <v>37.34</v>
      </c>
    </row>
    <row r="199" spans="1:28" ht="42.75">
      <c r="A199" s="74">
        <v>11</v>
      </c>
      <c r="B199" s="74">
        <v>11</v>
      </c>
      <c r="C199" s="74" t="str">
        <f>Source!G133</f>
        <v>Погрузочные работы при автомобильных перевозках мусора строительного с погрузкой вручную</v>
      </c>
      <c r="D199" s="74" t="str">
        <f>Source!F133</f>
        <v>т01-01-01-041</v>
      </c>
      <c r="E199" s="58" t="str">
        <f>Source!H133</f>
        <v>1 Т ГРУЗА</v>
      </c>
      <c r="F199" s="14">
        <f>Source!I133</f>
        <v>11.18</v>
      </c>
      <c r="G199" s="44">
        <f>Source!AB133</f>
        <v>42.98</v>
      </c>
      <c r="H199" s="44">
        <f>Source!GM133</f>
        <v>6362.04</v>
      </c>
      <c r="T199">
        <f>Source!GM133</f>
        <v>6362.04</v>
      </c>
      <c r="U199">
        <f>Source!P133</f>
        <v>0</v>
      </c>
      <c r="V199">
        <f>Source!S133</f>
        <v>0</v>
      </c>
      <c r="W199">
        <f>Source!Q133</f>
        <v>0</v>
      </c>
      <c r="X199">
        <f>Source!R133</f>
        <v>0</v>
      </c>
      <c r="Y199">
        <f>Source!U133</f>
        <v>0</v>
      </c>
      <c r="Z199">
        <f>Source!V133</f>
        <v>0</v>
      </c>
      <c r="AA199">
        <f>Source!X133</f>
        <v>0</v>
      </c>
      <c r="AB199">
        <f>Source!Y133</f>
        <v>0</v>
      </c>
    </row>
    <row r="200" spans="3:8" ht="63.75">
      <c r="C200" s="45" t="s">
        <v>509</v>
      </c>
      <c r="D200" s="45" t="str">
        <f>Source!BO133</f>
        <v>Письмо Минстроя России от 28.08.2023 № 52355-ИФ/09</v>
      </c>
      <c r="F200" s="14"/>
      <c r="G200" s="14"/>
      <c r="H200" s="14"/>
    </row>
    <row r="201" spans="3:4" ht="12.75">
      <c r="C201" s="45" t="s">
        <v>522</v>
      </c>
      <c r="D201" s="45">
        <f>Source!AZ133</f>
        <v>13.24</v>
      </c>
    </row>
    <row r="202" spans="1:28" ht="85.5">
      <c r="A202" s="74">
        <v>12</v>
      </c>
      <c r="B202" s="74">
        <v>12</v>
      </c>
      <c r="C202" s="74" t="str">
        <f>Source!G135</f>
        <v>Перевозка грузов I класса автомобилями бортовыми грузоподъемностью до 15 т на расстояние: 50 км (Приказ от 06.11.2020 № МКЭ-ОД/20-68 прил. 2 по ЮЗАО - 50 км) Применительно</v>
      </c>
      <c r="D202" s="74" t="str">
        <f>Source!F135</f>
        <v>т03-01-01-050</v>
      </c>
      <c r="E202" s="58" t="str">
        <f>Source!H135</f>
        <v>1 Т ГРУЗА</v>
      </c>
      <c r="F202" s="14">
        <f>Source!I135</f>
        <v>11.18</v>
      </c>
      <c r="G202" s="44">
        <f>Source!AB135</f>
        <v>23.67</v>
      </c>
      <c r="H202" s="44">
        <f>Source!GM135</f>
        <v>3503.71</v>
      </c>
      <c r="T202">
        <f>Source!GM135</f>
        <v>3503.71</v>
      </c>
      <c r="U202">
        <f>Source!P135</f>
        <v>0</v>
      </c>
      <c r="V202">
        <f>Source!S135</f>
        <v>0</v>
      </c>
      <c r="W202">
        <f>Source!Q135</f>
        <v>0</v>
      </c>
      <c r="X202">
        <f>Source!R135</f>
        <v>0</v>
      </c>
      <c r="Y202">
        <f>Source!U135</f>
        <v>0</v>
      </c>
      <c r="Z202">
        <f>Source!V135</f>
        <v>0</v>
      </c>
      <c r="AA202">
        <f>Source!X135</f>
        <v>0</v>
      </c>
      <c r="AB202">
        <f>Source!Y135</f>
        <v>0</v>
      </c>
    </row>
    <row r="203" spans="3:8" ht="63.75">
      <c r="C203" s="45" t="s">
        <v>509</v>
      </c>
      <c r="D203" s="45" t="str">
        <f>Source!BO135</f>
        <v>Письмо Минстроя России от 28.08.2023 № 52355-ИФ/09</v>
      </c>
      <c r="F203" s="14"/>
      <c r="G203" s="14"/>
      <c r="H203" s="14"/>
    </row>
    <row r="204" spans="3:4" ht="12.75">
      <c r="C204" s="45" t="s">
        <v>522</v>
      </c>
      <c r="D204" s="45">
        <f>Source!AZ135</f>
        <v>13.24</v>
      </c>
    </row>
    <row r="206" spans="1:8" ht="15">
      <c r="A206" s="64"/>
      <c r="B206" s="64"/>
      <c r="C206" s="129" t="str">
        <f>CONCATENATE("Итого по разделу: ",IF(Source!G137&lt;&gt;"Новый раздел",Source!G137,""))</f>
        <v>Итого по разделу: Разные работы</v>
      </c>
      <c r="D206" s="129"/>
      <c r="E206" s="129"/>
      <c r="F206" s="129"/>
      <c r="G206" s="64"/>
      <c r="H206" s="65">
        <f>IF(SUM(T192:T205)=0,"-",SUM(T192:T205))</f>
        <v>11954.989999999998</v>
      </c>
    </row>
    <row r="207" spans="1:8" ht="15">
      <c r="A207" s="64"/>
      <c r="B207" s="64"/>
      <c r="C207" s="64"/>
      <c r="D207" s="64"/>
      <c r="E207" s="64"/>
      <c r="F207" s="64"/>
      <c r="G207" s="64"/>
      <c r="H207" s="64"/>
    </row>
    <row r="210" spans="1:8" ht="15">
      <c r="A210" s="64"/>
      <c r="B210" s="64"/>
      <c r="C210" s="129" t="str">
        <f>CONCATENATE("Итого по локальной смете: ",IF(Source!G167&lt;&gt;"Новая локальная смета",Source!G167,""))</f>
        <v>Итого по локальной смете: </v>
      </c>
      <c r="D210" s="129"/>
      <c r="E210" s="129"/>
      <c r="F210" s="129"/>
      <c r="G210" s="64"/>
      <c r="H210" s="65">
        <f>IF(SUM(T37:T209)=0,"-",SUM(T37:T209))</f>
        <v>210553.54000000004</v>
      </c>
    </row>
    <row r="211" spans="1:8" ht="15">
      <c r="A211" s="64"/>
      <c r="B211" s="64"/>
      <c r="C211" s="64"/>
      <c r="D211" s="64"/>
      <c r="E211" s="64"/>
      <c r="F211" s="64"/>
      <c r="G211" s="64"/>
      <c r="H211" s="64"/>
    </row>
    <row r="213" spans="3:8" ht="14.25">
      <c r="C213" s="128" t="str">
        <f>Source!H196</f>
        <v>НДС 20%</v>
      </c>
      <c r="D213" s="128"/>
      <c r="E213" s="128"/>
      <c r="F213" s="128"/>
      <c r="G213" s="169">
        <f>IF(Source!P196=0,"",Source!P196)</f>
        <v>58615</v>
      </c>
      <c r="H213" s="169"/>
    </row>
    <row r="214" spans="3:8" ht="14.25">
      <c r="C214" s="128" t="str">
        <f>Source!H197</f>
        <v>ВСЕГО ПО СМЕТЕ</v>
      </c>
      <c r="D214" s="128"/>
      <c r="E214" s="128"/>
      <c r="F214" s="128"/>
      <c r="G214" s="169">
        <f>IF(Source!P197=0,"",Source!P197)</f>
        <v>351692</v>
      </c>
      <c r="H214" s="169"/>
    </row>
    <row r="216" spans="1:33" ht="30">
      <c r="A216" s="64"/>
      <c r="B216" s="64"/>
      <c r="C216" s="129" t="str">
        <f>CONCATENATE("Итого по смете: ",IF(Source!G199&lt;&gt;"Новый объект",Source!G199,""))</f>
        <v>Итого по смете: Выполнение работ по текущему ремонту кровли ИПУ РАН строения 4</v>
      </c>
      <c r="D216" s="129"/>
      <c r="E216" s="129"/>
      <c r="F216" s="129"/>
      <c r="G216" s="64"/>
      <c r="H216" s="65">
        <f>IF(SUM(T1:T215)=0,"-",SUM(T1:T215))</f>
        <v>210553.54000000004</v>
      </c>
      <c r="AG216" s="94" t="str">
        <f>CONCATENATE("Итого по смете: ",IF(Source!G199&lt;&gt;"Новый объект",Source!G199,""))</f>
        <v>Итого по смете: Выполнение работ по текущему ремонту кровли ИПУ РАН строения 4</v>
      </c>
    </row>
    <row r="217" spans="1:8" ht="15">
      <c r="A217" s="64"/>
      <c r="B217" s="64"/>
      <c r="C217" s="64"/>
      <c r="D217" s="64"/>
      <c r="E217" s="64"/>
      <c r="F217" s="64"/>
      <c r="G217" s="64"/>
      <c r="H217" s="64"/>
    </row>
    <row r="220" spans="1:12" ht="15" thickBot="1">
      <c r="A220" s="170" t="s">
        <v>523</v>
      </c>
      <c r="B220" s="170"/>
      <c r="C220" s="95" t="str">
        <f>IF(Source!AC12&lt;&gt;"",Source!AC12," ")</f>
        <v>Ведущий инженер РЕСО</v>
      </c>
      <c r="D220" s="14"/>
      <c r="E220" s="96"/>
      <c r="F220" s="14"/>
      <c r="G220" s="171" t="str">
        <f>IF(Source!AB12&lt;&gt;"",Source!AB12," ")</f>
        <v>Степанова А.М.</v>
      </c>
      <c r="H220" s="171"/>
      <c r="I220" s="14"/>
      <c r="J220" s="14"/>
      <c r="K220" s="14"/>
      <c r="L220" s="14"/>
    </row>
    <row r="221" spans="1:12" ht="14.25">
      <c r="A221" s="14"/>
      <c r="B221" s="14"/>
      <c r="C221" s="97" t="s">
        <v>524</v>
      </c>
      <c r="D221" s="14"/>
      <c r="E221" s="97" t="s">
        <v>525</v>
      </c>
      <c r="F221" s="14"/>
      <c r="G221" s="172" t="s">
        <v>526</v>
      </c>
      <c r="H221" s="172"/>
      <c r="I221" s="14"/>
      <c r="J221" s="14"/>
      <c r="K221" s="14"/>
      <c r="L221" s="14"/>
    </row>
    <row r="222" spans="1:12" ht="14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</row>
    <row r="223" spans="1:12" ht="14.25">
      <c r="A223" s="14"/>
      <c r="B223" s="14"/>
      <c r="C223" s="17" t="s">
        <v>527</v>
      </c>
      <c r="D223" s="14"/>
      <c r="E223" s="14"/>
      <c r="F223" s="14"/>
      <c r="G223" s="14"/>
      <c r="H223" s="14"/>
      <c r="I223" s="14"/>
      <c r="J223" s="14"/>
      <c r="K223" s="14"/>
      <c r="L223" s="14"/>
    </row>
    <row r="224" spans="1:12" ht="14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</row>
    <row r="225" spans="1:12" ht="15" thickBot="1">
      <c r="A225" s="170" t="s">
        <v>528</v>
      </c>
      <c r="B225" s="170"/>
      <c r="C225" s="95" t="str">
        <f>IF(Source!AG12&lt;&gt;"",Source!AG12," ")</f>
        <v> </v>
      </c>
      <c r="D225" s="14"/>
      <c r="E225" s="96"/>
      <c r="F225" s="14"/>
      <c r="G225" s="171" t="str">
        <f>IF(Source!AF12&lt;&gt;"",Source!AF12," ")</f>
        <v> </v>
      </c>
      <c r="H225" s="171"/>
      <c r="I225" s="14"/>
      <c r="J225" s="14"/>
      <c r="K225" s="14"/>
      <c r="L225" s="14"/>
    </row>
    <row r="226" spans="1:12" ht="14.25">
      <c r="A226" s="14"/>
      <c r="B226" s="14"/>
      <c r="C226" s="97" t="s">
        <v>524</v>
      </c>
      <c r="D226" s="14"/>
      <c r="E226" s="97" t="s">
        <v>525</v>
      </c>
      <c r="F226" s="14"/>
      <c r="G226" s="172" t="s">
        <v>526</v>
      </c>
      <c r="H226" s="172"/>
      <c r="I226" s="14"/>
      <c r="J226" s="14"/>
      <c r="K226" s="14"/>
      <c r="L226" s="14"/>
    </row>
    <row r="227" spans="1:12" ht="14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</row>
    <row r="228" spans="1:12" ht="14.25">
      <c r="A228" s="14"/>
      <c r="B228" s="14"/>
      <c r="C228" s="17" t="s">
        <v>527</v>
      </c>
      <c r="D228" s="14"/>
      <c r="E228" s="14"/>
      <c r="F228" s="14"/>
      <c r="G228" s="14"/>
      <c r="H228" s="14"/>
      <c r="I228" s="14"/>
      <c r="J228" s="14"/>
      <c r="K228" s="14"/>
      <c r="L228" s="14"/>
    </row>
  </sheetData>
  <sheetProtection/>
  <mergeCells count="113">
    <mergeCell ref="A225:B225"/>
    <mergeCell ref="G225:H225"/>
    <mergeCell ref="G226:H226"/>
    <mergeCell ref="C214:F214"/>
    <mergeCell ref="G214:H214"/>
    <mergeCell ref="C216:F216"/>
    <mergeCell ref="A220:B220"/>
    <mergeCell ref="G220:H220"/>
    <mergeCell ref="G221:H221"/>
    <mergeCell ref="D180:H180"/>
    <mergeCell ref="C188:F188"/>
    <mergeCell ref="A192:H192"/>
    <mergeCell ref="C206:F206"/>
    <mergeCell ref="C210:F210"/>
    <mergeCell ref="C213:F213"/>
    <mergeCell ref="G213:H213"/>
    <mergeCell ref="D174:H174"/>
    <mergeCell ref="D175:H175"/>
    <mergeCell ref="D176:H176"/>
    <mergeCell ref="D177:H177"/>
    <mergeCell ref="D178:H178"/>
    <mergeCell ref="D179:H179"/>
    <mergeCell ref="D155:H155"/>
    <mergeCell ref="D156:H156"/>
    <mergeCell ref="D157:H157"/>
    <mergeCell ref="D158:H158"/>
    <mergeCell ref="D159:H159"/>
    <mergeCell ref="D160:H160"/>
    <mergeCell ref="D142:H142"/>
    <mergeCell ref="D143:H143"/>
    <mergeCell ref="D144:H144"/>
    <mergeCell ref="D145:H145"/>
    <mergeCell ref="D146:H146"/>
    <mergeCell ref="D154:H154"/>
    <mergeCell ref="D129:H129"/>
    <mergeCell ref="D130:H130"/>
    <mergeCell ref="D131:H131"/>
    <mergeCell ref="D132:H132"/>
    <mergeCell ref="D140:H140"/>
    <mergeCell ref="D141:H141"/>
    <mergeCell ref="D113:H113"/>
    <mergeCell ref="D114:H114"/>
    <mergeCell ref="D115:H115"/>
    <mergeCell ref="D126:H126"/>
    <mergeCell ref="D127:H127"/>
    <mergeCell ref="D128:H128"/>
    <mergeCell ref="D97:H97"/>
    <mergeCell ref="D108:H108"/>
    <mergeCell ref="D109:H109"/>
    <mergeCell ref="D110:H110"/>
    <mergeCell ref="D111:H111"/>
    <mergeCell ref="D112:H112"/>
    <mergeCell ref="D91:H91"/>
    <mergeCell ref="D92:H92"/>
    <mergeCell ref="D93:H93"/>
    <mergeCell ref="D94:H94"/>
    <mergeCell ref="D95:H95"/>
    <mergeCell ref="D96:H96"/>
    <mergeCell ref="D74:H74"/>
    <mergeCell ref="D75:H75"/>
    <mergeCell ref="D76:H76"/>
    <mergeCell ref="D77:H77"/>
    <mergeCell ref="C79:F79"/>
    <mergeCell ref="A83:H83"/>
    <mergeCell ref="D58:H58"/>
    <mergeCell ref="D59:H59"/>
    <mergeCell ref="D60:H60"/>
    <mergeCell ref="D61:H61"/>
    <mergeCell ref="D72:H72"/>
    <mergeCell ref="D73:H73"/>
    <mergeCell ref="A37:H37"/>
    <mergeCell ref="A39:H39"/>
    <mergeCell ref="D47:H47"/>
    <mergeCell ref="D48:H48"/>
    <mergeCell ref="D56:H56"/>
    <mergeCell ref="D57:H57"/>
    <mergeCell ref="F31:G31"/>
    <mergeCell ref="A33:B33"/>
    <mergeCell ref="C33:C34"/>
    <mergeCell ref="D33:D34"/>
    <mergeCell ref="E33:E34"/>
    <mergeCell ref="F33:H33"/>
    <mergeCell ref="G22:H22"/>
    <mergeCell ref="D24:D25"/>
    <mergeCell ref="E24:E25"/>
    <mergeCell ref="F24:G24"/>
    <mergeCell ref="A28:H28"/>
    <mergeCell ref="A29:H29"/>
    <mergeCell ref="C18:E18"/>
    <mergeCell ref="D19:F19"/>
    <mergeCell ref="G19:H19"/>
    <mergeCell ref="D20:E20"/>
    <mergeCell ref="G20:H20"/>
    <mergeCell ref="G21:H21"/>
    <mergeCell ref="C16:E16"/>
    <mergeCell ref="G16:H17"/>
    <mergeCell ref="C17:E17"/>
    <mergeCell ref="C10:E10"/>
    <mergeCell ref="G10:H11"/>
    <mergeCell ref="C11:E11"/>
    <mergeCell ref="C12:E12"/>
    <mergeCell ref="G12:H13"/>
    <mergeCell ref="C13:E13"/>
    <mergeCell ref="E2:H2"/>
    <mergeCell ref="E3:H3"/>
    <mergeCell ref="E4:H4"/>
    <mergeCell ref="G6:H6"/>
    <mergeCell ref="G7:H7"/>
    <mergeCell ref="G8:H9"/>
    <mergeCell ref="C9:E9"/>
    <mergeCell ref="C14:E14"/>
    <mergeCell ref="G14:H15"/>
    <mergeCell ref="C15:E15"/>
  </mergeCells>
  <printOptions/>
  <pageMargins left="0.4" right="0.2" top="0.2" bottom="0.4" header="0.2" footer="0.2"/>
  <pageSetup fitToHeight="0" fitToWidth="1" horizontalDpi="600" verticalDpi="600" orientation="portrait" paperSize="9" scale="85" r:id="rId1"/>
  <headerFooter>
    <oddHeader>&amp;L&amp;8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75.7109375" style="0" customWidth="1"/>
    <col min="3" max="5" width="15.7109375" style="0" customWidth="1"/>
    <col min="30" max="30" width="114.7109375" style="0" hidden="1" customWidth="1"/>
    <col min="31" max="32" width="0" style="0" hidden="1" customWidth="1"/>
  </cols>
  <sheetData>
    <row r="1" ht="12.75">
      <c r="A1" s="12" t="str">
        <f>Source!B1</f>
        <v>Smeta.RU  (495) 974-1589</v>
      </c>
    </row>
    <row r="2" spans="3:4" ht="14.25">
      <c r="C2" s="14"/>
      <c r="D2" s="14"/>
    </row>
    <row r="3" spans="3:4" ht="15">
      <c r="C3" s="14"/>
      <c r="D3" s="64" t="s">
        <v>352</v>
      </c>
    </row>
    <row r="4" spans="3:4" ht="15">
      <c r="C4" s="64"/>
      <c r="D4" s="64"/>
    </row>
    <row r="5" spans="3:4" ht="15">
      <c r="C5" s="147" t="s">
        <v>464</v>
      </c>
      <c r="D5" s="147"/>
    </row>
    <row r="6" spans="3:4" ht="15">
      <c r="C6" s="79"/>
      <c r="D6" s="79"/>
    </row>
    <row r="7" spans="3:4" ht="15">
      <c r="C7" s="147" t="s">
        <v>464</v>
      </c>
      <c r="D7" s="147"/>
    </row>
    <row r="8" spans="3:4" ht="15">
      <c r="C8" s="79"/>
      <c r="D8" s="79"/>
    </row>
    <row r="9" spans="3:4" ht="15">
      <c r="C9" s="64" t="s">
        <v>465</v>
      </c>
      <c r="D9" s="14"/>
    </row>
    <row r="10" spans="1:5" ht="14.25">
      <c r="A10" s="14"/>
      <c r="B10" s="14"/>
      <c r="C10" s="14"/>
      <c r="D10" s="14"/>
      <c r="E10" s="14"/>
    </row>
    <row r="11" spans="1:5" ht="15.75">
      <c r="A11" s="173" t="str">
        <f>CONCATENATE("Дефектный акт ",IF(Source!AN15&lt;&gt;"",Source!AN15," "))</f>
        <v>Дефектный акт  </v>
      </c>
      <c r="B11" s="173"/>
      <c r="C11" s="173"/>
      <c r="D11" s="173"/>
      <c r="E11" s="14"/>
    </row>
    <row r="12" spans="1:30" ht="15">
      <c r="A12" s="174" t="str">
        <f>CONCATENATE("На капитальный ремонт ",Source!F12," ",Source!G12)</f>
        <v>На капитальный ремонт  Выполнение работ по текущему ремонту кровли ИПУ РАН строения 4</v>
      </c>
      <c r="B12" s="174"/>
      <c r="C12" s="174"/>
      <c r="D12" s="174"/>
      <c r="E12" s="14"/>
      <c r="AD12" s="99" t="str">
        <f>CONCATENATE("На капитальный ремонт ",Source!F12," ",Source!G12)</f>
        <v>На капитальный ремонт  Выполнение работ по текущему ремонту кровли ИПУ РАН строения 4</v>
      </c>
    </row>
    <row r="13" spans="1:5" ht="14.25">
      <c r="A13" s="14"/>
      <c r="B13" s="14"/>
      <c r="C13" s="14"/>
      <c r="D13" s="14"/>
      <c r="E13" s="14"/>
    </row>
    <row r="14" spans="1:5" ht="15">
      <c r="A14" s="14"/>
      <c r="B14" s="98" t="s">
        <v>529</v>
      </c>
      <c r="C14" s="14"/>
      <c r="D14" s="14"/>
      <c r="E14" s="14"/>
    </row>
    <row r="15" spans="1:5" ht="15">
      <c r="A15" s="14"/>
      <c r="B15" s="98" t="s">
        <v>530</v>
      </c>
      <c r="C15" s="14"/>
      <c r="D15" s="14"/>
      <c r="E15" s="14"/>
    </row>
    <row r="16" spans="1:5" ht="15">
      <c r="A16" s="14"/>
      <c r="B16" s="98" t="s">
        <v>531</v>
      </c>
      <c r="C16" s="14"/>
      <c r="D16" s="14"/>
      <c r="E16" s="14"/>
    </row>
    <row r="17" spans="1:5" ht="28.5">
      <c r="A17" s="80" t="s">
        <v>376</v>
      </c>
      <c r="B17" s="80" t="s">
        <v>378</v>
      </c>
      <c r="C17" s="80" t="s">
        <v>379</v>
      </c>
      <c r="D17" s="80" t="s">
        <v>380</v>
      </c>
      <c r="E17" s="81" t="s">
        <v>469</v>
      </c>
    </row>
    <row r="18" spans="1:5" ht="14.25">
      <c r="A18" s="100">
        <v>1</v>
      </c>
      <c r="B18" s="100">
        <v>2</v>
      </c>
      <c r="C18" s="100">
        <v>3</v>
      </c>
      <c r="D18" s="100">
        <v>4</v>
      </c>
      <c r="E18" s="101">
        <v>5</v>
      </c>
    </row>
    <row r="19" spans="1:5" ht="16.5">
      <c r="A19" s="146" t="str">
        <f>CONCATENATE("Локальная смета: ",Source!G20)</f>
        <v>Локальная смета: </v>
      </c>
      <c r="B19" s="146"/>
      <c r="C19" s="146"/>
      <c r="D19" s="146"/>
      <c r="E19" s="146"/>
    </row>
    <row r="20" spans="1:5" ht="16.5">
      <c r="A20" s="146" t="str">
        <f>CONCATENATE("Раздел: ",Source!G24)</f>
        <v>Раздел: Демонтажные работы</v>
      </c>
      <c r="B20" s="146"/>
      <c r="C20" s="146"/>
      <c r="D20" s="146"/>
      <c r="E20" s="146"/>
    </row>
    <row r="21" spans="1:5" ht="14.25">
      <c r="A21" s="106">
        <v>1</v>
      </c>
      <c r="B21" s="107" t="str">
        <f>Source!G28</f>
        <v>Разборка покрытий кровель: из рулонных материалов</v>
      </c>
      <c r="C21" s="108" t="str">
        <f>Source!H28</f>
        <v>100 м2</v>
      </c>
      <c r="D21" s="109">
        <f>Source!I28</f>
        <v>2.34</v>
      </c>
      <c r="E21" s="107"/>
    </row>
    <row r="22" spans="1:5" ht="14.25">
      <c r="A22" s="106">
        <v>2</v>
      </c>
      <c r="B22" s="107" t="str">
        <f>Source!G30</f>
        <v>Разборка стяжек: цементных толщиной 20 мм (Применительно)</v>
      </c>
      <c r="C22" s="108" t="str">
        <f>Source!H30</f>
        <v>100 м2</v>
      </c>
      <c r="D22" s="109">
        <f>Source!I30</f>
        <v>0.97</v>
      </c>
      <c r="E22" s="107"/>
    </row>
    <row r="23" spans="1:5" ht="42.75">
      <c r="A23" s="106">
        <v>3</v>
      </c>
      <c r="B23" s="107" t="str">
        <f>Source!G34</f>
        <v>Разборка стяжек: на каждые 5 мм изменения толщины стяжки добавлять или исключать к расценке 11-01-011-03 (К=2, добавить 10 мм, разборка 30 мм стяжки) Применительно</v>
      </c>
      <c r="C23" s="108" t="str">
        <f>Source!H34</f>
        <v>100 м2</v>
      </c>
      <c r="D23" s="109">
        <f>Source!I34</f>
        <v>0.97</v>
      </c>
      <c r="E23" s="107"/>
    </row>
    <row r="24" spans="1:5" ht="16.5">
      <c r="A24" s="146" t="str">
        <f>CONCATENATE("Раздел: ",Source!G67)</f>
        <v>Раздел: Монтажные работы</v>
      </c>
      <c r="B24" s="146"/>
      <c r="C24" s="146"/>
      <c r="D24" s="146"/>
      <c r="E24" s="146"/>
    </row>
    <row r="25" spans="1:5" ht="14.25">
      <c r="A25" s="106">
        <v>4</v>
      </c>
      <c r="B25" s="107" t="str">
        <f>Source!G71</f>
        <v>Устройство выравнивающих стяжек: цементно-песчаных толщиной 15 мм</v>
      </c>
      <c r="C25" s="108" t="str">
        <f>Source!H71</f>
        <v>100 м2</v>
      </c>
      <c r="D25" s="109">
        <f>Source!I71</f>
        <v>0.97</v>
      </c>
      <c r="E25" s="107"/>
    </row>
    <row r="26" spans="1:5" ht="14.25">
      <c r="A26" s="106">
        <v>4.1</v>
      </c>
      <c r="B26" s="107" t="str">
        <f>Source!G73</f>
        <v>Смеси сухие цементные (пескобетон), класс B22,5 (M300)</v>
      </c>
      <c r="C26" s="108" t="str">
        <f>Source!H73</f>
        <v>т</v>
      </c>
      <c r="D26" s="109">
        <f>Source!I73</f>
        <v>2.626727</v>
      </c>
      <c r="E26" s="107"/>
    </row>
    <row r="27" spans="1:5" ht="28.5">
      <c r="A27" s="106">
        <v>5</v>
      </c>
      <c r="B27" s="107" t="str">
        <f>Source!G75</f>
        <v>Устройство выравнивающих стяжек: на каждый 1 мм изменения толщины добавлять или исключать к расценке 12-01-017-01 (К=15, до 30 мм)</v>
      </c>
      <c r="C27" s="108" t="str">
        <f>Source!H75</f>
        <v>100 м2</v>
      </c>
      <c r="D27" s="109">
        <f>Source!I75</f>
        <v>0.97</v>
      </c>
      <c r="E27" s="107"/>
    </row>
    <row r="28" spans="1:5" ht="14.25">
      <c r="A28" s="106">
        <v>5.1</v>
      </c>
      <c r="B28" s="107" t="str">
        <f>Source!G77</f>
        <v>Смеси сухие цементные (пескобетон), класс B22,5 (M300)</v>
      </c>
      <c r="C28" s="108" t="str">
        <f>Source!H77</f>
        <v>т</v>
      </c>
      <c r="D28" s="109">
        <f>Source!I77</f>
        <v>2.626464</v>
      </c>
      <c r="E28" s="107"/>
    </row>
    <row r="29" spans="1:5" ht="28.5">
      <c r="A29" s="106">
        <v>6</v>
      </c>
      <c r="B29" s="107" t="str">
        <f>Source!G79</f>
        <v>Огрунтовка оснований из бетона или раствора под водоизоляционный кровельный ковер: готовой эмульсией битумной</v>
      </c>
      <c r="C29" s="108" t="str">
        <f>Source!H79</f>
        <v>100 м2</v>
      </c>
      <c r="D29" s="109">
        <f>Source!I79</f>
        <v>2.34</v>
      </c>
      <c r="E29" s="107"/>
    </row>
    <row r="30" spans="1:5" ht="28.5">
      <c r="A30" s="106">
        <v>7</v>
      </c>
      <c r="B30" s="107" t="str">
        <f>Source!G81</f>
        <v>Устройство мелких покрытий (брандмауэры, парапеты, свесы и т.п.) из листовой оцинкованной стали</v>
      </c>
      <c r="C30" s="108" t="str">
        <f>Source!H81</f>
        <v>100 м2</v>
      </c>
      <c r="D30" s="109">
        <f>Source!I81</f>
        <v>0.03</v>
      </c>
      <c r="E30" s="107"/>
    </row>
    <row r="31" spans="1:5" ht="14.25">
      <c r="A31" s="106">
        <v>8</v>
      </c>
      <c r="B31" s="107" t="str">
        <f>Source!G83</f>
        <v>Устройство кровель плоских из наплавляемых материалов в два слоя</v>
      </c>
      <c r="C31" s="108" t="str">
        <f>Source!H83</f>
        <v>100 м2</v>
      </c>
      <c r="D31" s="109">
        <f>Source!I83</f>
        <v>2.34</v>
      </c>
      <c r="E31" s="107"/>
    </row>
    <row r="32" spans="1:5" ht="57">
      <c r="A32" s="106">
        <v>8.1</v>
      </c>
      <c r="B32" s="107" t="str">
        <f>Source!G85</f>
        <v>Материал рулонный битумно-полимерный кровельный и гидроизоляционный ТПП/ЭПП/ХПП, для нижнего слоя кровли, основа-стеклоткань/полиэстер/стеклохолст, гибкость не выше -25 °C, масса 1 м2 от 3,5 до 4,0 кг, прочность 390-590 Н, теплостойкость не менее 100 °C</v>
      </c>
      <c r="C32" s="108" t="str">
        <f>Source!H85</f>
        <v>м2</v>
      </c>
      <c r="D32" s="109">
        <f>Source!I85</f>
        <v>271.44</v>
      </c>
      <c r="E32" s="107"/>
    </row>
    <row r="33" spans="1:5" ht="57">
      <c r="A33" s="106">
        <v>8.2</v>
      </c>
      <c r="B33" s="107" t="str">
        <f>Source!G87</f>
        <v>Материал рулонный битумно-полимерный кровельный и гидроизоляционный ТКП/ЭКП/ХКП, для верхнего слоя кровли, основа-стеклоткань/полиэстер/стеклохолст, гибкость не выше -25 °C, масса 1 м2 4,5 кг, прочность 390-590 Н, теплостойкость не менее 100 °C</v>
      </c>
      <c r="C33" s="108" t="str">
        <f>Source!H87</f>
        <v>м2</v>
      </c>
      <c r="D33" s="109">
        <f>Source!I87</f>
        <v>266.76</v>
      </c>
      <c r="E33" s="107"/>
    </row>
    <row r="34" spans="1:5" ht="28.5">
      <c r="A34" s="106">
        <v>9</v>
      </c>
      <c r="B34" s="107" t="str">
        <f>Source!G89</f>
        <v>Устройство примыканий кровель из наплавляемых материалов к стенам и парапетам высотой: до 600 мм без фартуков</v>
      </c>
      <c r="C34" s="108" t="str">
        <f>Source!H89</f>
        <v>100 м</v>
      </c>
      <c r="D34" s="109">
        <f>Source!I89</f>
        <v>0.104</v>
      </c>
      <c r="E34" s="107"/>
    </row>
    <row r="35" spans="1:5" ht="57">
      <c r="A35" s="106">
        <v>9.1</v>
      </c>
      <c r="B35" s="107" t="str">
        <f>Source!G91</f>
        <v>Материал рулонный битумно-полимерный кровельный и гидроизоляционный ТПП/ЭПП/ХПП, для нижнего слоя кровли, основа-стеклоткань/полиэстер/стеклохолст, гибкость не выше -25 °C, масса 1 м2 от 3,5 до 4,0 кг, прочность 390-590 Н, теплостойкость не менее 100 °C</v>
      </c>
      <c r="C35" s="108" t="str">
        <f>Source!H91</f>
        <v>м2</v>
      </c>
      <c r="D35" s="109">
        <f>Source!I91</f>
        <v>12.064</v>
      </c>
      <c r="E35" s="107"/>
    </row>
    <row r="36" spans="1:5" ht="57">
      <c r="A36" s="106">
        <v>9.2</v>
      </c>
      <c r="B36" s="107" t="str">
        <f>Source!G93</f>
        <v>Материал рулонный битумно-полимерный кровельный и гидроизоляционный ТКП/ЭКП/ХКП, для верхнего слоя кровли, основа-стеклоткань/полиэстер/стеклохолст, гибкость не выше -25 °C, масса 1 м2 4,5 кг, прочность 390-590 Н, теплостойкость не менее 100 °C</v>
      </c>
      <c r="C36" s="108" t="str">
        <f>Source!H93</f>
        <v>м2</v>
      </c>
      <c r="D36" s="109">
        <f>Source!I93</f>
        <v>11.856</v>
      </c>
      <c r="E36" s="107"/>
    </row>
    <row r="37" spans="1:5" ht="16.5">
      <c r="A37" s="146" t="str">
        <f>CONCATENATE("Раздел: ",Source!G126)</f>
        <v>Раздел: Разные работы</v>
      </c>
      <c r="B37" s="146"/>
      <c r="C37" s="146"/>
      <c r="D37" s="146"/>
      <c r="E37" s="146"/>
    </row>
    <row r="38" spans="1:5" ht="14.25">
      <c r="A38" s="106">
        <v>10</v>
      </c>
      <c r="B38" s="107" t="str">
        <f>Source!G130</f>
        <v>Затаривание строительного мусора в мешки</v>
      </c>
      <c r="C38" s="108" t="str">
        <f>Source!H130</f>
        <v>т</v>
      </c>
      <c r="D38" s="109">
        <f>Source!I130</f>
        <v>5.4</v>
      </c>
      <c r="E38" s="107"/>
    </row>
    <row r="39" spans="1:5" ht="28.5">
      <c r="A39" s="106">
        <v>11</v>
      </c>
      <c r="B39" s="107" t="str">
        <f>Source!G132</f>
        <v>Погрузочные работы при автомобильных перевозках мусора строительного с погрузкой вручную</v>
      </c>
      <c r="C39" s="108" t="str">
        <f>Source!H132</f>
        <v>1 Т ГРУЗА</v>
      </c>
      <c r="D39" s="109">
        <f>Source!I132</f>
        <v>11.18</v>
      </c>
      <c r="E39" s="107"/>
    </row>
    <row r="40" spans="1:5" ht="42.75">
      <c r="A40" s="102">
        <v>12</v>
      </c>
      <c r="B40" s="103" t="str">
        <f>Source!G134</f>
        <v>Перевозка грузов I класса автомобилями бортовыми грузоподъемностью до 15 т на расстояние: 50 км (Приказ от 06.11.2020 № МКЭ-ОД/20-68 прил. 2 по ЮЗАО - 50 км) Применительно</v>
      </c>
      <c r="C40" s="104" t="str">
        <f>Source!H134</f>
        <v>1 Т ГРУЗА</v>
      </c>
      <c r="D40" s="105">
        <f>Source!I134</f>
        <v>11.18</v>
      </c>
      <c r="E40" s="103"/>
    </row>
    <row r="43" spans="1:5" ht="15">
      <c r="A43" s="53" t="s">
        <v>532</v>
      </c>
      <c r="B43" s="53"/>
      <c r="C43" s="53" t="s">
        <v>533</v>
      </c>
      <c r="D43" s="53"/>
      <c r="E43" s="53"/>
    </row>
  </sheetData>
  <sheetProtection/>
  <mergeCells count="8">
    <mergeCell ref="A24:E24"/>
    <mergeCell ref="A37:E37"/>
    <mergeCell ref="C5:D5"/>
    <mergeCell ref="C7:D7"/>
    <mergeCell ref="A11:D11"/>
    <mergeCell ref="A12:D12"/>
    <mergeCell ref="A19:E19"/>
    <mergeCell ref="A20:E20"/>
  </mergeCells>
  <printOptions/>
  <pageMargins left="0.4" right="0.2" top="0.2" bottom="0.4" header="0.2" footer="0.2"/>
  <pageSetup fitToHeight="0" fitToWidth="1" horizontalDpi="600" verticalDpi="600" orientation="portrait" paperSize="9" scale="76" r:id="rId1"/>
  <headerFooter>
    <oddHeader>&amp;L&amp;8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267"/>
  <sheetViews>
    <sheetView zoomScalePageLayoutView="0" workbookViewId="0" topLeftCell="A1">
      <selection activeCell="A263" sqref="A263:AN263"/>
    </sheetView>
  </sheetViews>
  <sheetFormatPr defaultColWidth="9.140625" defaultRowHeight="12.75"/>
  <sheetData>
    <row r="1" spans="1:17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58091</v>
      </c>
      <c r="M1">
        <v>10</v>
      </c>
      <c r="N1">
        <v>11</v>
      </c>
      <c r="O1">
        <v>5</v>
      </c>
      <c r="P1">
        <v>3</v>
      </c>
      <c r="Q1">
        <v>2</v>
      </c>
    </row>
    <row r="12" spans="1:133" ht="12.75">
      <c r="A12" s="1">
        <v>1</v>
      </c>
      <c r="B12" s="1">
        <v>261</v>
      </c>
      <c r="C12" s="1">
        <v>0</v>
      </c>
      <c r="D12" s="1">
        <f>ROW(A199)</f>
        <v>199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131083</v>
      </c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4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3</v>
      </c>
      <c r="AG12" s="1" t="s">
        <v>3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>
        <v>2</v>
      </c>
      <c r="BC12" s="1"/>
      <c r="BD12" s="1"/>
      <c r="BE12" s="1"/>
      <c r="BF12" s="1"/>
      <c r="BG12" s="1"/>
      <c r="BH12" s="1" t="s">
        <v>12</v>
      </c>
      <c r="BI12" s="1" t="s">
        <v>13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14</v>
      </c>
      <c r="BZ12" s="1" t="s">
        <v>15</v>
      </c>
      <c r="CA12" s="1" t="s">
        <v>16</v>
      </c>
      <c r="CB12" s="1" t="s">
        <v>16</v>
      </c>
      <c r="CC12" s="1" t="s">
        <v>16</v>
      </c>
      <c r="CD12" s="1" t="s">
        <v>16</v>
      </c>
      <c r="CE12" s="1" t="s">
        <v>17</v>
      </c>
      <c r="CF12" s="1">
        <v>0</v>
      </c>
      <c r="CG12" s="1">
        <v>0</v>
      </c>
      <c r="CH12" s="1">
        <v>403374088</v>
      </c>
      <c r="CI12" s="1" t="s">
        <v>3</v>
      </c>
      <c r="CJ12" s="1" t="s">
        <v>3</v>
      </c>
      <c r="CK12" s="1">
        <v>9</v>
      </c>
      <c r="CL12" s="1"/>
      <c r="CM12" s="1"/>
      <c r="CN12" s="1"/>
      <c r="CO12" s="1"/>
      <c r="CP12" s="1"/>
      <c r="CQ12" s="1" t="s">
        <v>349</v>
      </c>
      <c r="CR12" s="1" t="s">
        <v>18</v>
      </c>
      <c r="CS12" s="1">
        <v>44551</v>
      </c>
      <c r="CT12" s="1">
        <v>395</v>
      </c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06" ht="12.75">
      <c r="A18" s="3">
        <v>52</v>
      </c>
      <c r="B18" s="3">
        <f aca="true" t="shared" si="0" ref="B18:G18">B199</f>
        <v>261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>
        <f t="shared" si="0"/>
      </c>
      <c r="G18" s="3" t="str">
        <f t="shared" si="0"/>
        <v>Выполнение работ по текущему ремонту кровли ИПУ РАН строения 4</v>
      </c>
      <c r="H18" s="3"/>
      <c r="I18" s="3"/>
      <c r="J18" s="3"/>
      <c r="K18" s="3"/>
      <c r="L18" s="3"/>
      <c r="M18" s="3"/>
      <c r="N18" s="3"/>
      <c r="O18" s="3">
        <f aca="true" t="shared" si="1" ref="O18:AT18">O199</f>
        <v>22977.09</v>
      </c>
      <c r="P18" s="3">
        <f t="shared" si="1"/>
        <v>21063.09</v>
      </c>
      <c r="Q18" s="3">
        <f t="shared" si="1"/>
        <v>511.42</v>
      </c>
      <c r="R18" s="3">
        <f t="shared" si="1"/>
        <v>64.34</v>
      </c>
      <c r="S18" s="3">
        <f t="shared" si="1"/>
        <v>1402.58</v>
      </c>
      <c r="T18" s="3">
        <f t="shared" si="1"/>
        <v>0</v>
      </c>
      <c r="U18" s="3">
        <f t="shared" si="1"/>
        <v>165.13558999999998</v>
      </c>
      <c r="V18" s="3">
        <f t="shared" si="1"/>
        <v>5.2964899999999995</v>
      </c>
      <c r="W18" s="3">
        <f t="shared" si="1"/>
        <v>0</v>
      </c>
      <c r="X18" s="3">
        <f t="shared" si="1"/>
        <v>1451.67</v>
      </c>
      <c r="Y18" s="3">
        <f t="shared" si="1"/>
        <v>758.35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25932.26</v>
      </c>
      <c r="AS18" s="3">
        <f t="shared" si="1"/>
        <v>25932.26</v>
      </c>
      <c r="AT18" s="3">
        <f t="shared" si="1"/>
        <v>0</v>
      </c>
      <c r="AU18" s="3">
        <f aca="true" t="shared" si="2" ref="AU18:BZ18">AU199</f>
        <v>0</v>
      </c>
      <c r="AV18" s="3">
        <f t="shared" si="2"/>
        <v>21063.09</v>
      </c>
      <c r="AW18" s="3">
        <f t="shared" si="2"/>
        <v>21063.09</v>
      </c>
      <c r="AX18" s="3">
        <f t="shared" si="2"/>
        <v>0</v>
      </c>
      <c r="AY18" s="3">
        <f t="shared" si="2"/>
        <v>21063.09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745.15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aca="true" t="shared" si="3" ref="CA18:DF18">CA199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aca="true" t="shared" si="4" ref="DG18:EL18">DG199</f>
        <v>200687.79</v>
      </c>
      <c r="DH18" s="4">
        <f t="shared" si="4"/>
        <v>141543.84</v>
      </c>
      <c r="DI18" s="4">
        <f t="shared" si="4"/>
        <v>6771.91</v>
      </c>
      <c r="DJ18" s="4">
        <f t="shared" si="4"/>
        <v>2402.73</v>
      </c>
      <c r="DK18" s="4">
        <f t="shared" si="4"/>
        <v>52372.04</v>
      </c>
      <c r="DL18" s="4">
        <f t="shared" si="4"/>
        <v>0</v>
      </c>
      <c r="DM18" s="4">
        <f t="shared" si="4"/>
        <v>165.13558999999998</v>
      </c>
      <c r="DN18" s="4">
        <f t="shared" si="4"/>
        <v>5.2964899999999995</v>
      </c>
      <c r="DO18" s="4">
        <f t="shared" si="4"/>
        <v>0</v>
      </c>
      <c r="DP18" s="4">
        <f t="shared" si="4"/>
        <v>54205.13</v>
      </c>
      <c r="DQ18" s="4">
        <f t="shared" si="4"/>
        <v>28317.68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293076.35</v>
      </c>
      <c r="EK18" s="4">
        <f t="shared" si="4"/>
        <v>293076.35</v>
      </c>
      <c r="EL18" s="4">
        <f t="shared" si="4"/>
        <v>0</v>
      </c>
      <c r="EM18" s="4">
        <f aca="true" t="shared" si="5" ref="EM18:FR18">EM199</f>
        <v>0</v>
      </c>
      <c r="EN18" s="4">
        <f t="shared" si="5"/>
        <v>141543.84</v>
      </c>
      <c r="EO18" s="4">
        <f t="shared" si="5"/>
        <v>141543.84</v>
      </c>
      <c r="EP18" s="4">
        <f t="shared" si="5"/>
        <v>0</v>
      </c>
      <c r="EQ18" s="4">
        <f t="shared" si="5"/>
        <v>141543.84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9865.75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aca="true" t="shared" si="6" ref="FS18:GX18">FS199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95" ht="12.75">
      <c r="A20" s="1">
        <v>3</v>
      </c>
      <c r="B20" s="1">
        <v>1</v>
      </c>
      <c r="C20" s="1"/>
      <c r="D20" s="1">
        <f>ROW(A167)</f>
        <v>167</v>
      </c>
      <c r="E20" s="1"/>
      <c r="F20" s="1" t="s">
        <v>3</v>
      </c>
      <c r="G20" s="1" t="s">
        <v>3</v>
      </c>
      <c r="H20" s="1" t="s">
        <v>3</v>
      </c>
      <c r="I20" s="1">
        <v>0</v>
      </c>
      <c r="J20" s="1" t="s">
        <v>3</v>
      </c>
      <c r="K20" s="1">
        <v>-1</v>
      </c>
      <c r="L20" s="1" t="s">
        <v>3</v>
      </c>
      <c r="M20" s="1" t="s">
        <v>3</v>
      </c>
      <c r="N20" s="1"/>
      <c r="O20" s="1"/>
      <c r="P20" s="1"/>
      <c r="Q20" s="1"/>
      <c r="R20" s="1"/>
      <c r="S20" s="1">
        <v>0</v>
      </c>
      <c r="T20" s="1">
        <v>0</v>
      </c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06" ht="12.75">
      <c r="A22" s="3">
        <v>52</v>
      </c>
      <c r="B22" s="3">
        <f aca="true" t="shared" si="7" ref="B22:G22">B167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>
        <f t="shared" si="7"/>
      </c>
      <c r="G22" s="3">
        <f t="shared" si="7"/>
      </c>
      <c r="H22" s="3"/>
      <c r="I22" s="3"/>
      <c r="J22" s="3"/>
      <c r="K22" s="3"/>
      <c r="L22" s="3"/>
      <c r="M22" s="3"/>
      <c r="N22" s="3"/>
      <c r="O22" s="3">
        <f aca="true" t="shared" si="8" ref="O22:AT22">O167</f>
        <v>22977.09</v>
      </c>
      <c r="P22" s="3">
        <f t="shared" si="8"/>
        <v>21063.09</v>
      </c>
      <c r="Q22" s="3">
        <f t="shared" si="8"/>
        <v>511.42</v>
      </c>
      <c r="R22" s="3">
        <f t="shared" si="8"/>
        <v>64.34</v>
      </c>
      <c r="S22" s="3">
        <f t="shared" si="8"/>
        <v>1402.58</v>
      </c>
      <c r="T22" s="3">
        <f t="shared" si="8"/>
        <v>0</v>
      </c>
      <c r="U22" s="3">
        <f t="shared" si="8"/>
        <v>165.13558999999998</v>
      </c>
      <c r="V22" s="3">
        <f t="shared" si="8"/>
        <v>5.2964899999999995</v>
      </c>
      <c r="W22" s="3">
        <f t="shared" si="8"/>
        <v>0</v>
      </c>
      <c r="X22" s="3">
        <f t="shared" si="8"/>
        <v>1451.67</v>
      </c>
      <c r="Y22" s="3">
        <f t="shared" si="8"/>
        <v>758.35</v>
      </c>
      <c r="Z22" s="3">
        <f t="shared" si="8"/>
        <v>0</v>
      </c>
      <c r="AA22" s="3">
        <f t="shared" si="8"/>
        <v>0</v>
      </c>
      <c r="AB22" s="3">
        <f t="shared" si="8"/>
        <v>0</v>
      </c>
      <c r="AC22" s="3">
        <f t="shared" si="8"/>
        <v>0</v>
      </c>
      <c r="AD22" s="3">
        <f t="shared" si="8"/>
        <v>0</v>
      </c>
      <c r="AE22" s="3">
        <f t="shared" si="8"/>
        <v>0</v>
      </c>
      <c r="AF22" s="3">
        <f t="shared" si="8"/>
        <v>0</v>
      </c>
      <c r="AG22" s="3">
        <f t="shared" si="8"/>
        <v>0</v>
      </c>
      <c r="AH22" s="3">
        <f t="shared" si="8"/>
        <v>0</v>
      </c>
      <c r="AI22" s="3">
        <f t="shared" si="8"/>
        <v>0</v>
      </c>
      <c r="AJ22" s="3">
        <f t="shared" si="8"/>
        <v>0</v>
      </c>
      <c r="AK22" s="3">
        <f t="shared" si="8"/>
        <v>0</v>
      </c>
      <c r="AL22" s="3">
        <f t="shared" si="8"/>
        <v>0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25932.26</v>
      </c>
      <c r="AS22" s="3">
        <f t="shared" si="8"/>
        <v>25932.26</v>
      </c>
      <c r="AT22" s="3">
        <f t="shared" si="8"/>
        <v>0</v>
      </c>
      <c r="AU22" s="3">
        <f aca="true" t="shared" si="9" ref="AU22:BZ22">AU167</f>
        <v>0</v>
      </c>
      <c r="AV22" s="3">
        <f t="shared" si="9"/>
        <v>21063.09</v>
      </c>
      <c r="AW22" s="3">
        <f t="shared" si="9"/>
        <v>21063.09</v>
      </c>
      <c r="AX22" s="3">
        <f t="shared" si="9"/>
        <v>0</v>
      </c>
      <c r="AY22" s="3">
        <f t="shared" si="9"/>
        <v>21063.09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745.15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aca="true" t="shared" si="10" ref="CA22:DF22">CA167</f>
        <v>0</v>
      </c>
      <c r="CB22" s="3">
        <f t="shared" si="10"/>
        <v>0</v>
      </c>
      <c r="CC22" s="3">
        <f t="shared" si="10"/>
        <v>0</v>
      </c>
      <c r="CD22" s="3">
        <f t="shared" si="10"/>
        <v>0</v>
      </c>
      <c r="CE22" s="3">
        <f t="shared" si="10"/>
        <v>0</v>
      </c>
      <c r="CF22" s="3">
        <f t="shared" si="10"/>
        <v>0</v>
      </c>
      <c r="CG22" s="3">
        <f t="shared" si="10"/>
        <v>0</v>
      </c>
      <c r="CH22" s="3">
        <f t="shared" si="10"/>
        <v>0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aca="true" t="shared" si="11" ref="DG22:EL22">DG167</f>
        <v>200687.79</v>
      </c>
      <c r="DH22" s="4">
        <f t="shared" si="11"/>
        <v>141543.84</v>
      </c>
      <c r="DI22" s="4">
        <f t="shared" si="11"/>
        <v>6771.91</v>
      </c>
      <c r="DJ22" s="4">
        <f t="shared" si="11"/>
        <v>2402.73</v>
      </c>
      <c r="DK22" s="4">
        <f t="shared" si="11"/>
        <v>52372.04</v>
      </c>
      <c r="DL22" s="4">
        <f t="shared" si="11"/>
        <v>0</v>
      </c>
      <c r="DM22" s="4">
        <f t="shared" si="11"/>
        <v>165.13558999999998</v>
      </c>
      <c r="DN22" s="4">
        <f t="shared" si="11"/>
        <v>5.2964899999999995</v>
      </c>
      <c r="DO22" s="4">
        <f t="shared" si="11"/>
        <v>0</v>
      </c>
      <c r="DP22" s="4">
        <f t="shared" si="11"/>
        <v>54205.13</v>
      </c>
      <c r="DQ22" s="4">
        <f t="shared" si="11"/>
        <v>28317.68</v>
      </c>
      <c r="DR22" s="4">
        <f t="shared" si="11"/>
        <v>0</v>
      </c>
      <c r="DS22" s="4">
        <f t="shared" si="11"/>
        <v>0</v>
      </c>
      <c r="DT22" s="4">
        <f t="shared" si="11"/>
        <v>0</v>
      </c>
      <c r="DU22" s="4">
        <f t="shared" si="11"/>
        <v>0</v>
      </c>
      <c r="DV22" s="4">
        <f t="shared" si="11"/>
        <v>0</v>
      </c>
      <c r="DW22" s="4">
        <f t="shared" si="11"/>
        <v>0</v>
      </c>
      <c r="DX22" s="4">
        <f t="shared" si="11"/>
        <v>0</v>
      </c>
      <c r="DY22" s="4">
        <f t="shared" si="11"/>
        <v>0</v>
      </c>
      <c r="DZ22" s="4">
        <f t="shared" si="11"/>
        <v>0</v>
      </c>
      <c r="EA22" s="4">
        <f t="shared" si="11"/>
        <v>0</v>
      </c>
      <c r="EB22" s="4">
        <f t="shared" si="11"/>
        <v>0</v>
      </c>
      <c r="EC22" s="4">
        <f t="shared" si="11"/>
        <v>0</v>
      </c>
      <c r="ED22" s="4">
        <f t="shared" si="11"/>
        <v>0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293076.35</v>
      </c>
      <c r="EK22" s="4">
        <f t="shared" si="11"/>
        <v>293076.35</v>
      </c>
      <c r="EL22" s="4">
        <f t="shared" si="11"/>
        <v>0</v>
      </c>
      <c r="EM22" s="4">
        <f aca="true" t="shared" si="12" ref="EM22:FR22">EM167</f>
        <v>0</v>
      </c>
      <c r="EN22" s="4">
        <f t="shared" si="12"/>
        <v>141543.84</v>
      </c>
      <c r="EO22" s="4">
        <f t="shared" si="12"/>
        <v>141543.84</v>
      </c>
      <c r="EP22" s="4">
        <f t="shared" si="12"/>
        <v>0</v>
      </c>
      <c r="EQ22" s="4">
        <f t="shared" si="12"/>
        <v>141543.84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9865.75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aca="true" t="shared" si="13" ref="FS22:GX22">FS167</f>
        <v>0</v>
      </c>
      <c r="FT22" s="4">
        <f t="shared" si="13"/>
        <v>0</v>
      </c>
      <c r="FU22" s="4">
        <f t="shared" si="13"/>
        <v>0</v>
      </c>
      <c r="FV22" s="4">
        <f t="shared" si="13"/>
        <v>0</v>
      </c>
      <c r="FW22" s="4">
        <f t="shared" si="13"/>
        <v>0</v>
      </c>
      <c r="FX22" s="4">
        <f t="shared" si="13"/>
        <v>0</v>
      </c>
      <c r="FY22" s="4">
        <f t="shared" si="13"/>
        <v>0</v>
      </c>
      <c r="FZ22" s="4">
        <f t="shared" si="13"/>
        <v>0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88" ht="12.75">
      <c r="A24" s="1">
        <v>4</v>
      </c>
      <c r="B24" s="1">
        <v>1</v>
      </c>
      <c r="C24" s="1"/>
      <c r="D24" s="1">
        <f>ROW(A37)</f>
        <v>37</v>
      </c>
      <c r="E24" s="1"/>
      <c r="F24" s="1" t="s">
        <v>19</v>
      </c>
      <c r="G24" s="1" t="s">
        <v>20</v>
      </c>
      <c r="H24" s="1" t="s">
        <v>3</v>
      </c>
      <c r="I24" s="1">
        <v>0</v>
      </c>
      <c r="J24" s="1"/>
      <c r="K24" s="1">
        <v>-1</v>
      </c>
      <c r="L24" s="1"/>
      <c r="M24" s="1" t="s">
        <v>3</v>
      </c>
      <c r="N24" s="1"/>
      <c r="O24" s="1"/>
      <c r="P24" s="1"/>
      <c r="Q24" s="1"/>
      <c r="R24" s="1"/>
      <c r="S24" s="1">
        <v>0</v>
      </c>
      <c r="T24" s="1">
        <v>0</v>
      </c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06" ht="12.75">
      <c r="A26" s="3">
        <v>52</v>
      </c>
      <c r="B26" s="3">
        <f aca="true" t="shared" si="14" ref="B26:G26">B37</f>
        <v>1</v>
      </c>
      <c r="C26" s="3">
        <f t="shared" si="14"/>
        <v>4</v>
      </c>
      <c r="D26" s="3">
        <f t="shared" si="14"/>
        <v>24</v>
      </c>
      <c r="E26" s="3">
        <f t="shared" si="14"/>
        <v>0</v>
      </c>
      <c r="F26" s="3" t="str">
        <f t="shared" si="14"/>
        <v>Новый раздел</v>
      </c>
      <c r="G26" s="3" t="str">
        <f t="shared" si="14"/>
        <v>Демонтажные работы</v>
      </c>
      <c r="H26" s="3"/>
      <c r="I26" s="3"/>
      <c r="J26" s="3"/>
      <c r="K26" s="3"/>
      <c r="L26" s="3"/>
      <c r="M26" s="3"/>
      <c r="N26" s="3"/>
      <c r="O26" s="3">
        <f aca="true" t="shared" si="15" ref="O26:AT26">O37</f>
        <v>629.65</v>
      </c>
      <c r="P26" s="3">
        <f t="shared" si="15"/>
        <v>0</v>
      </c>
      <c r="Q26" s="3">
        <f t="shared" si="15"/>
        <v>142.52</v>
      </c>
      <c r="R26" s="3">
        <f t="shared" si="15"/>
        <v>17.71</v>
      </c>
      <c r="S26" s="3">
        <f t="shared" si="15"/>
        <v>487.13</v>
      </c>
      <c r="T26" s="3">
        <f t="shared" si="15"/>
        <v>0</v>
      </c>
      <c r="U26" s="3">
        <f t="shared" si="15"/>
        <v>61.957679999999996</v>
      </c>
      <c r="V26" s="3">
        <f t="shared" si="15"/>
        <v>1.31144</v>
      </c>
      <c r="W26" s="3">
        <f t="shared" si="15"/>
        <v>0</v>
      </c>
      <c r="X26" s="3">
        <f t="shared" si="15"/>
        <v>510.31</v>
      </c>
      <c r="Y26" s="3">
        <f t="shared" si="15"/>
        <v>294.02</v>
      </c>
      <c r="Z26" s="3">
        <f t="shared" si="15"/>
        <v>0</v>
      </c>
      <c r="AA26" s="3">
        <f t="shared" si="15"/>
        <v>0</v>
      </c>
      <c r="AB26" s="3">
        <f t="shared" si="15"/>
        <v>629.65</v>
      </c>
      <c r="AC26" s="3">
        <f t="shared" si="15"/>
        <v>0</v>
      </c>
      <c r="AD26" s="3">
        <f t="shared" si="15"/>
        <v>142.52</v>
      </c>
      <c r="AE26" s="3">
        <f t="shared" si="15"/>
        <v>17.71</v>
      </c>
      <c r="AF26" s="3">
        <f t="shared" si="15"/>
        <v>487.13</v>
      </c>
      <c r="AG26" s="3">
        <f t="shared" si="15"/>
        <v>0</v>
      </c>
      <c r="AH26" s="3">
        <f t="shared" si="15"/>
        <v>61.957679999999996</v>
      </c>
      <c r="AI26" s="3">
        <f t="shared" si="15"/>
        <v>1.31144</v>
      </c>
      <c r="AJ26" s="3">
        <f t="shared" si="15"/>
        <v>0</v>
      </c>
      <c r="AK26" s="3">
        <f t="shared" si="15"/>
        <v>510.31</v>
      </c>
      <c r="AL26" s="3">
        <f t="shared" si="15"/>
        <v>294.02</v>
      </c>
      <c r="AM26" s="3">
        <f t="shared" si="15"/>
        <v>0</v>
      </c>
      <c r="AN26" s="3">
        <f t="shared" si="15"/>
        <v>0</v>
      </c>
      <c r="AO26" s="3">
        <f t="shared" si="15"/>
        <v>0</v>
      </c>
      <c r="AP26" s="3">
        <f t="shared" si="15"/>
        <v>0</v>
      </c>
      <c r="AQ26" s="3">
        <f t="shared" si="15"/>
        <v>0</v>
      </c>
      <c r="AR26" s="3">
        <f t="shared" si="15"/>
        <v>1433.98</v>
      </c>
      <c r="AS26" s="3">
        <f t="shared" si="15"/>
        <v>1433.98</v>
      </c>
      <c r="AT26" s="3">
        <f t="shared" si="15"/>
        <v>0</v>
      </c>
      <c r="AU26" s="3">
        <f aca="true" t="shared" si="16" ref="AU26:BZ26">AU37</f>
        <v>0</v>
      </c>
      <c r="AV26" s="3">
        <f t="shared" si="16"/>
        <v>0</v>
      </c>
      <c r="AW26" s="3">
        <f t="shared" si="16"/>
        <v>0</v>
      </c>
      <c r="AX26" s="3">
        <f t="shared" si="16"/>
        <v>0</v>
      </c>
      <c r="AY26" s="3">
        <f t="shared" si="16"/>
        <v>0</v>
      </c>
      <c r="AZ26" s="3">
        <f t="shared" si="16"/>
        <v>0</v>
      </c>
      <c r="BA26" s="3">
        <f t="shared" si="16"/>
        <v>0</v>
      </c>
      <c r="BB26" s="3">
        <f t="shared" si="16"/>
        <v>0</v>
      </c>
      <c r="BC26" s="3">
        <f t="shared" si="16"/>
        <v>0</v>
      </c>
      <c r="BD26" s="3">
        <f t="shared" si="16"/>
        <v>0</v>
      </c>
      <c r="BE26" s="3">
        <f t="shared" si="16"/>
        <v>0</v>
      </c>
      <c r="BF26" s="3">
        <f t="shared" si="16"/>
        <v>0</v>
      </c>
      <c r="BG26" s="3">
        <f t="shared" si="16"/>
        <v>0</v>
      </c>
      <c r="BH26" s="3">
        <f t="shared" si="16"/>
        <v>0</v>
      </c>
      <c r="BI26" s="3">
        <f t="shared" si="16"/>
        <v>0</v>
      </c>
      <c r="BJ26" s="3">
        <f t="shared" si="16"/>
        <v>0</v>
      </c>
      <c r="BK26" s="3">
        <f t="shared" si="16"/>
        <v>0</v>
      </c>
      <c r="BL26" s="3">
        <f t="shared" si="16"/>
        <v>0</v>
      </c>
      <c r="BM26" s="3">
        <f t="shared" si="16"/>
        <v>0</v>
      </c>
      <c r="BN26" s="3">
        <f t="shared" si="16"/>
        <v>0</v>
      </c>
      <c r="BO26" s="3">
        <f t="shared" si="16"/>
        <v>0</v>
      </c>
      <c r="BP26" s="3">
        <f t="shared" si="16"/>
        <v>0</v>
      </c>
      <c r="BQ26" s="3">
        <f t="shared" si="16"/>
        <v>0</v>
      </c>
      <c r="BR26" s="3">
        <f t="shared" si="16"/>
        <v>0</v>
      </c>
      <c r="BS26" s="3">
        <f t="shared" si="16"/>
        <v>0</v>
      </c>
      <c r="BT26" s="3">
        <f t="shared" si="16"/>
        <v>0</v>
      </c>
      <c r="BU26" s="3">
        <f t="shared" si="16"/>
        <v>0</v>
      </c>
      <c r="BV26" s="3">
        <f t="shared" si="16"/>
        <v>0</v>
      </c>
      <c r="BW26" s="3">
        <f t="shared" si="16"/>
        <v>0</v>
      </c>
      <c r="BX26" s="3">
        <f t="shared" si="16"/>
        <v>0</v>
      </c>
      <c r="BY26" s="3">
        <f t="shared" si="16"/>
        <v>0</v>
      </c>
      <c r="BZ26" s="3">
        <f t="shared" si="16"/>
        <v>0</v>
      </c>
      <c r="CA26" s="3">
        <f aca="true" t="shared" si="17" ref="CA26:DF26">CA37</f>
        <v>1433.98</v>
      </c>
      <c r="CB26" s="3">
        <f t="shared" si="17"/>
        <v>1433.98</v>
      </c>
      <c r="CC26" s="3">
        <f t="shared" si="17"/>
        <v>0</v>
      </c>
      <c r="CD26" s="3">
        <f t="shared" si="17"/>
        <v>0</v>
      </c>
      <c r="CE26" s="3">
        <f t="shared" si="17"/>
        <v>0</v>
      </c>
      <c r="CF26" s="3">
        <f t="shared" si="17"/>
        <v>0</v>
      </c>
      <c r="CG26" s="3">
        <f t="shared" si="17"/>
        <v>0</v>
      </c>
      <c r="CH26" s="3">
        <f t="shared" si="17"/>
        <v>0</v>
      </c>
      <c r="CI26" s="3">
        <f t="shared" si="17"/>
        <v>0</v>
      </c>
      <c r="CJ26" s="3">
        <f t="shared" si="17"/>
        <v>0</v>
      </c>
      <c r="CK26" s="3">
        <f t="shared" si="17"/>
        <v>0</v>
      </c>
      <c r="CL26" s="3">
        <f t="shared" si="17"/>
        <v>0</v>
      </c>
      <c r="CM26" s="3">
        <f t="shared" si="17"/>
        <v>0</v>
      </c>
      <c r="CN26" s="3">
        <f t="shared" si="17"/>
        <v>0</v>
      </c>
      <c r="CO26" s="3">
        <f t="shared" si="17"/>
        <v>0</v>
      </c>
      <c r="CP26" s="3">
        <f t="shared" si="17"/>
        <v>0</v>
      </c>
      <c r="CQ26" s="3">
        <f t="shared" si="17"/>
        <v>0</v>
      </c>
      <c r="CR26" s="3">
        <f t="shared" si="17"/>
        <v>0</v>
      </c>
      <c r="CS26" s="3">
        <f t="shared" si="17"/>
        <v>0</v>
      </c>
      <c r="CT26" s="3">
        <f t="shared" si="17"/>
        <v>0</v>
      </c>
      <c r="CU26" s="3">
        <f t="shared" si="17"/>
        <v>0</v>
      </c>
      <c r="CV26" s="3">
        <f t="shared" si="17"/>
        <v>0</v>
      </c>
      <c r="CW26" s="3">
        <f t="shared" si="17"/>
        <v>0</v>
      </c>
      <c r="CX26" s="3">
        <f t="shared" si="17"/>
        <v>0</v>
      </c>
      <c r="CY26" s="3">
        <f t="shared" si="17"/>
        <v>0</v>
      </c>
      <c r="CZ26" s="3">
        <f t="shared" si="17"/>
        <v>0</v>
      </c>
      <c r="DA26" s="3">
        <f t="shared" si="17"/>
        <v>0</v>
      </c>
      <c r="DB26" s="3">
        <f t="shared" si="17"/>
        <v>0</v>
      </c>
      <c r="DC26" s="3">
        <f t="shared" si="17"/>
        <v>0</v>
      </c>
      <c r="DD26" s="3">
        <f t="shared" si="17"/>
        <v>0</v>
      </c>
      <c r="DE26" s="3">
        <f t="shared" si="17"/>
        <v>0</v>
      </c>
      <c r="DF26" s="3">
        <f t="shared" si="17"/>
        <v>0</v>
      </c>
      <c r="DG26" s="4">
        <f aca="true" t="shared" si="18" ref="DG26:EL26">DG37</f>
        <v>20076.11</v>
      </c>
      <c r="DH26" s="4">
        <f t="shared" si="18"/>
        <v>0</v>
      </c>
      <c r="DI26" s="4">
        <f t="shared" si="18"/>
        <v>1886.83</v>
      </c>
      <c r="DJ26" s="4">
        <f t="shared" si="18"/>
        <v>661.38</v>
      </c>
      <c r="DK26" s="4">
        <f t="shared" si="18"/>
        <v>18189.28</v>
      </c>
      <c r="DL26" s="4">
        <f t="shared" si="18"/>
        <v>0</v>
      </c>
      <c r="DM26" s="4">
        <f t="shared" si="18"/>
        <v>61.957679999999996</v>
      </c>
      <c r="DN26" s="4">
        <f t="shared" si="18"/>
        <v>1.31144</v>
      </c>
      <c r="DO26" s="4">
        <f t="shared" si="18"/>
        <v>0</v>
      </c>
      <c r="DP26" s="4">
        <f t="shared" si="18"/>
        <v>19054.73</v>
      </c>
      <c r="DQ26" s="4">
        <f t="shared" si="18"/>
        <v>10978.93</v>
      </c>
      <c r="DR26" s="4">
        <f t="shared" si="18"/>
        <v>0</v>
      </c>
      <c r="DS26" s="4">
        <f t="shared" si="18"/>
        <v>0</v>
      </c>
      <c r="DT26" s="4">
        <f t="shared" si="18"/>
        <v>20076.11</v>
      </c>
      <c r="DU26" s="4">
        <f t="shared" si="18"/>
        <v>0</v>
      </c>
      <c r="DV26" s="4">
        <f t="shared" si="18"/>
        <v>1886.83</v>
      </c>
      <c r="DW26" s="4">
        <f t="shared" si="18"/>
        <v>661.38</v>
      </c>
      <c r="DX26" s="4">
        <f t="shared" si="18"/>
        <v>18189.28</v>
      </c>
      <c r="DY26" s="4">
        <f t="shared" si="18"/>
        <v>0</v>
      </c>
      <c r="DZ26" s="4">
        <f t="shared" si="18"/>
        <v>61.957679999999996</v>
      </c>
      <c r="EA26" s="4">
        <f t="shared" si="18"/>
        <v>1.31144</v>
      </c>
      <c r="EB26" s="4">
        <f t="shared" si="18"/>
        <v>0</v>
      </c>
      <c r="EC26" s="4">
        <f t="shared" si="18"/>
        <v>19054.73</v>
      </c>
      <c r="ED26" s="4">
        <f t="shared" si="18"/>
        <v>10978.93</v>
      </c>
      <c r="EE26" s="4">
        <f t="shared" si="18"/>
        <v>0</v>
      </c>
      <c r="EF26" s="4">
        <f t="shared" si="18"/>
        <v>0</v>
      </c>
      <c r="EG26" s="4">
        <f t="shared" si="18"/>
        <v>0</v>
      </c>
      <c r="EH26" s="4">
        <f t="shared" si="18"/>
        <v>0</v>
      </c>
      <c r="EI26" s="4">
        <f t="shared" si="18"/>
        <v>0</v>
      </c>
      <c r="EJ26" s="4">
        <f t="shared" si="18"/>
        <v>50109.77</v>
      </c>
      <c r="EK26" s="4">
        <f t="shared" si="18"/>
        <v>50109.77</v>
      </c>
      <c r="EL26" s="4">
        <f t="shared" si="18"/>
        <v>0</v>
      </c>
      <c r="EM26" s="4">
        <f aca="true" t="shared" si="19" ref="EM26:FR26">EM37</f>
        <v>0</v>
      </c>
      <c r="EN26" s="4">
        <f t="shared" si="19"/>
        <v>0</v>
      </c>
      <c r="EO26" s="4">
        <f t="shared" si="19"/>
        <v>0</v>
      </c>
      <c r="EP26" s="4">
        <f t="shared" si="19"/>
        <v>0</v>
      </c>
      <c r="EQ26" s="4">
        <f t="shared" si="19"/>
        <v>0</v>
      </c>
      <c r="ER26" s="4">
        <f t="shared" si="19"/>
        <v>0</v>
      </c>
      <c r="ES26" s="4">
        <f t="shared" si="19"/>
        <v>0</v>
      </c>
      <c r="ET26" s="4">
        <f t="shared" si="19"/>
        <v>0</v>
      </c>
      <c r="EU26" s="4">
        <f t="shared" si="19"/>
        <v>0</v>
      </c>
      <c r="EV26" s="4">
        <f t="shared" si="19"/>
        <v>0</v>
      </c>
      <c r="EW26" s="4">
        <f t="shared" si="19"/>
        <v>0</v>
      </c>
      <c r="EX26" s="4">
        <f t="shared" si="19"/>
        <v>0</v>
      </c>
      <c r="EY26" s="4">
        <f t="shared" si="19"/>
        <v>0</v>
      </c>
      <c r="EZ26" s="4">
        <f t="shared" si="19"/>
        <v>0</v>
      </c>
      <c r="FA26" s="4">
        <f t="shared" si="19"/>
        <v>0</v>
      </c>
      <c r="FB26" s="4">
        <f t="shared" si="19"/>
        <v>0</v>
      </c>
      <c r="FC26" s="4">
        <f t="shared" si="19"/>
        <v>0</v>
      </c>
      <c r="FD26" s="4">
        <f t="shared" si="19"/>
        <v>0</v>
      </c>
      <c r="FE26" s="4">
        <f t="shared" si="19"/>
        <v>0</v>
      </c>
      <c r="FF26" s="4">
        <f t="shared" si="19"/>
        <v>0</v>
      </c>
      <c r="FG26" s="4">
        <f t="shared" si="19"/>
        <v>0</v>
      </c>
      <c r="FH26" s="4">
        <f t="shared" si="19"/>
        <v>0</v>
      </c>
      <c r="FI26" s="4">
        <f t="shared" si="19"/>
        <v>0</v>
      </c>
      <c r="FJ26" s="4">
        <f t="shared" si="19"/>
        <v>0</v>
      </c>
      <c r="FK26" s="4">
        <f t="shared" si="19"/>
        <v>0</v>
      </c>
      <c r="FL26" s="4">
        <f t="shared" si="19"/>
        <v>0</v>
      </c>
      <c r="FM26" s="4">
        <f t="shared" si="19"/>
        <v>0</v>
      </c>
      <c r="FN26" s="4">
        <f t="shared" si="19"/>
        <v>0</v>
      </c>
      <c r="FO26" s="4">
        <f t="shared" si="19"/>
        <v>0</v>
      </c>
      <c r="FP26" s="4">
        <f t="shared" si="19"/>
        <v>0</v>
      </c>
      <c r="FQ26" s="4">
        <f t="shared" si="19"/>
        <v>0</v>
      </c>
      <c r="FR26" s="4">
        <f t="shared" si="19"/>
        <v>0</v>
      </c>
      <c r="FS26" s="4">
        <f aca="true" t="shared" si="20" ref="FS26:GX26">FS37</f>
        <v>50109.77</v>
      </c>
      <c r="FT26" s="4">
        <f t="shared" si="20"/>
        <v>50109.77</v>
      </c>
      <c r="FU26" s="4">
        <f t="shared" si="20"/>
        <v>0</v>
      </c>
      <c r="FV26" s="4">
        <f t="shared" si="20"/>
        <v>0</v>
      </c>
      <c r="FW26" s="4">
        <f t="shared" si="20"/>
        <v>0</v>
      </c>
      <c r="FX26" s="4">
        <f t="shared" si="20"/>
        <v>0</v>
      </c>
      <c r="FY26" s="4">
        <f t="shared" si="20"/>
        <v>0</v>
      </c>
      <c r="FZ26" s="4">
        <f t="shared" si="20"/>
        <v>0</v>
      </c>
      <c r="GA26" s="4">
        <f t="shared" si="20"/>
        <v>0</v>
      </c>
      <c r="GB26" s="4">
        <f t="shared" si="20"/>
        <v>0</v>
      </c>
      <c r="GC26" s="4">
        <f t="shared" si="20"/>
        <v>0</v>
      </c>
      <c r="GD26" s="4">
        <f t="shared" si="20"/>
        <v>0</v>
      </c>
      <c r="GE26" s="4">
        <f t="shared" si="20"/>
        <v>0</v>
      </c>
      <c r="GF26" s="4">
        <f t="shared" si="20"/>
        <v>0</v>
      </c>
      <c r="GG26" s="4">
        <f t="shared" si="20"/>
        <v>0</v>
      </c>
      <c r="GH26" s="4">
        <f t="shared" si="20"/>
        <v>0</v>
      </c>
      <c r="GI26" s="4">
        <f t="shared" si="20"/>
        <v>0</v>
      </c>
      <c r="GJ26" s="4">
        <f t="shared" si="20"/>
        <v>0</v>
      </c>
      <c r="GK26" s="4">
        <f t="shared" si="20"/>
        <v>0</v>
      </c>
      <c r="GL26" s="4">
        <f t="shared" si="20"/>
        <v>0</v>
      </c>
      <c r="GM26" s="4">
        <f t="shared" si="20"/>
        <v>0</v>
      </c>
      <c r="GN26" s="4">
        <f t="shared" si="20"/>
        <v>0</v>
      </c>
      <c r="GO26" s="4">
        <f t="shared" si="20"/>
        <v>0</v>
      </c>
      <c r="GP26" s="4">
        <f t="shared" si="20"/>
        <v>0</v>
      </c>
      <c r="GQ26" s="4">
        <f t="shared" si="20"/>
        <v>0</v>
      </c>
      <c r="GR26" s="4">
        <f t="shared" si="20"/>
        <v>0</v>
      </c>
      <c r="GS26" s="4">
        <f t="shared" si="20"/>
        <v>0</v>
      </c>
      <c r="GT26" s="4">
        <f t="shared" si="20"/>
        <v>0</v>
      </c>
      <c r="GU26" s="4">
        <f t="shared" si="20"/>
        <v>0</v>
      </c>
      <c r="GV26" s="4">
        <f t="shared" si="20"/>
        <v>0</v>
      </c>
      <c r="GW26" s="4">
        <f t="shared" si="20"/>
        <v>0</v>
      </c>
      <c r="GX26" s="4">
        <f t="shared" si="20"/>
        <v>0</v>
      </c>
    </row>
    <row r="28" spans="1:255" ht="12.75">
      <c r="A28" s="2">
        <v>17</v>
      </c>
      <c r="B28" s="2">
        <v>1</v>
      </c>
      <c r="C28" s="2">
        <f>ROW(SmtRes!A2)</f>
        <v>2</v>
      </c>
      <c r="D28" s="2">
        <f>ROW(EtalonRes!A2)</f>
        <v>2</v>
      </c>
      <c r="E28" s="2" t="s">
        <v>21</v>
      </c>
      <c r="F28" s="2" t="s">
        <v>22</v>
      </c>
      <c r="G28" s="2" t="s">
        <v>23</v>
      </c>
      <c r="H28" s="2" t="s">
        <v>24</v>
      </c>
      <c r="I28" s="2">
        <f>ROUND(234/100,7)</f>
        <v>2.34</v>
      </c>
      <c r="J28" s="2">
        <v>0</v>
      </c>
      <c r="K28" s="2">
        <f>ROUND(234/100,7)</f>
        <v>2.34</v>
      </c>
      <c r="L28" s="2"/>
      <c r="M28" s="2"/>
      <c r="N28" s="2"/>
      <c r="O28" s="2">
        <f aca="true" t="shared" si="21" ref="O28:O35">ROUND(CP28,2)</f>
        <v>359.4</v>
      </c>
      <c r="P28" s="2">
        <f aca="true" t="shared" si="22" ref="P28:P35">ROUND(CQ28*I28,2)</f>
        <v>0</v>
      </c>
      <c r="Q28" s="2">
        <f aca="true" t="shared" si="23" ref="Q28:Q35">ROUND(CR28*I28,2)</f>
        <v>96.95</v>
      </c>
      <c r="R28" s="2">
        <f aca="true" t="shared" si="24" ref="R28:R35">ROUND(CS28*I28,2)</f>
        <v>0</v>
      </c>
      <c r="S28" s="2">
        <f aca="true" t="shared" si="25" ref="S28:S35">ROUND(CT28*I28,2)</f>
        <v>262.45</v>
      </c>
      <c r="T28" s="2">
        <f aca="true" t="shared" si="26" ref="T28:T35">ROUND(CU28*I28,2)</f>
        <v>0</v>
      </c>
      <c r="U28" s="2">
        <f aca="true" t="shared" si="27" ref="U28:U35">CV28*I28</f>
        <v>33.6492</v>
      </c>
      <c r="V28" s="2">
        <f aca="true" t="shared" si="28" ref="V28:V35">CW28*I28</f>
        <v>0</v>
      </c>
      <c r="W28" s="2">
        <f aca="true" t="shared" si="29" ref="W28:W35">ROUND(CX28*I28,2)</f>
        <v>0</v>
      </c>
      <c r="X28" s="2">
        <f aca="true" t="shared" si="30" ref="X28:Y35">ROUND(CY28,2)</f>
        <v>238.83</v>
      </c>
      <c r="Y28" s="2">
        <f t="shared" si="30"/>
        <v>136.47</v>
      </c>
      <c r="Z28" s="2"/>
      <c r="AA28" s="2">
        <v>55655398</v>
      </c>
      <c r="AB28" s="2">
        <f aca="true" t="shared" si="31" ref="AB28:AB35">ROUND((AC28+AD28+AF28),2)</f>
        <v>153.59</v>
      </c>
      <c r="AC28" s="2">
        <f>ROUND((ES28),2)</f>
        <v>0</v>
      </c>
      <c r="AD28" s="2">
        <f>ROUND((((ET28)-(EU28))+AE28),2)</f>
        <v>41.43</v>
      </c>
      <c r="AE28" s="2">
        <f>ROUND((EU28),2)</f>
        <v>0</v>
      </c>
      <c r="AF28" s="2">
        <f>ROUND((EV28),2)</f>
        <v>112.16</v>
      </c>
      <c r="AG28" s="2">
        <f aca="true" t="shared" si="32" ref="AG28:AG35">ROUND((AP28),2)</f>
        <v>0</v>
      </c>
      <c r="AH28" s="2">
        <f>(EW28)</f>
        <v>14.38</v>
      </c>
      <c r="AI28" s="2">
        <f>(EX28)</f>
        <v>0</v>
      </c>
      <c r="AJ28" s="2">
        <f aca="true" t="shared" si="33" ref="AJ28:AJ35">(AS28)</f>
        <v>0</v>
      </c>
      <c r="AK28" s="2">
        <v>153.59</v>
      </c>
      <c r="AL28" s="2">
        <v>0</v>
      </c>
      <c r="AM28" s="2">
        <v>41.43</v>
      </c>
      <c r="AN28" s="2">
        <v>0</v>
      </c>
      <c r="AO28" s="2">
        <v>112.16</v>
      </c>
      <c r="AP28" s="2">
        <v>0</v>
      </c>
      <c r="AQ28" s="2">
        <v>14.38</v>
      </c>
      <c r="AR28" s="2">
        <v>0</v>
      </c>
      <c r="AS28" s="2">
        <v>0</v>
      </c>
      <c r="AT28" s="2">
        <v>91</v>
      </c>
      <c r="AU28" s="2">
        <v>52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25</v>
      </c>
      <c r="BK28" s="2"/>
      <c r="BL28" s="2"/>
      <c r="BM28" s="2">
        <v>46001</v>
      </c>
      <c r="BN28" s="2">
        <v>0</v>
      </c>
      <c r="BO28" s="2" t="s">
        <v>3</v>
      </c>
      <c r="BP28" s="2">
        <v>0</v>
      </c>
      <c r="BQ28" s="2">
        <v>2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108</v>
      </c>
      <c r="CA28" s="2">
        <v>59</v>
      </c>
      <c r="CB28" s="2" t="s">
        <v>3</v>
      </c>
      <c r="CC28" s="2"/>
      <c r="CD28" s="2"/>
      <c r="CE28" s="2">
        <v>0</v>
      </c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aca="true" t="shared" si="34" ref="CP28:CP35">(P28+Q28+S28)</f>
        <v>359.4</v>
      </c>
      <c r="CQ28" s="2">
        <f aca="true" t="shared" si="35" ref="CQ28:CQ35">AC28*BC28</f>
        <v>0</v>
      </c>
      <c r="CR28" s="2">
        <f>(((ET28)*BB28-(EU28)*BS28)+AE28*BS28)</f>
        <v>41.43</v>
      </c>
      <c r="CS28" s="2">
        <f aca="true" t="shared" si="36" ref="CS28:CS35">AE28*BS28</f>
        <v>0</v>
      </c>
      <c r="CT28" s="2">
        <f aca="true" t="shared" si="37" ref="CT28:CT35">AF28*BA28</f>
        <v>112.16</v>
      </c>
      <c r="CU28" s="2">
        <f aca="true" t="shared" si="38" ref="CU28:CX35">AG28</f>
        <v>0</v>
      </c>
      <c r="CV28" s="2">
        <f t="shared" si="38"/>
        <v>14.38</v>
      </c>
      <c r="CW28" s="2">
        <f t="shared" si="38"/>
        <v>0</v>
      </c>
      <c r="CX28" s="2">
        <f t="shared" si="38"/>
        <v>0</v>
      </c>
      <c r="CY28" s="2">
        <f aca="true" t="shared" si="39" ref="CY28:CY35">(((S28+R28)*AT28)/100)</f>
        <v>238.8295</v>
      </c>
      <c r="CZ28" s="2">
        <f aca="true" t="shared" si="40" ref="CZ28:CZ35">(((S28+R28)*AU28)/100)</f>
        <v>136.474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26</v>
      </c>
      <c r="DM28" s="2" t="s">
        <v>27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1005</v>
      </c>
      <c r="DV28" s="2" t="s">
        <v>24</v>
      </c>
      <c r="DW28" s="2" t="s">
        <v>24</v>
      </c>
      <c r="DX28" s="2">
        <v>100</v>
      </c>
      <c r="DY28" s="2"/>
      <c r="DZ28" s="2" t="s">
        <v>3</v>
      </c>
      <c r="EA28" s="2" t="s">
        <v>3</v>
      </c>
      <c r="EB28" s="2" t="s">
        <v>3</v>
      </c>
      <c r="EC28" s="2" t="s">
        <v>3</v>
      </c>
      <c r="ED28" s="2"/>
      <c r="EE28" s="2">
        <v>55471764</v>
      </c>
      <c r="EF28" s="2">
        <v>2</v>
      </c>
      <c r="EG28" s="2" t="s">
        <v>28</v>
      </c>
      <c r="EH28" s="2">
        <v>40</v>
      </c>
      <c r="EI28" s="2" t="s">
        <v>29</v>
      </c>
      <c r="EJ28" s="2">
        <v>1</v>
      </c>
      <c r="EK28" s="2">
        <v>46001</v>
      </c>
      <c r="EL28" s="2" t="s">
        <v>30</v>
      </c>
      <c r="EM28" s="2" t="s">
        <v>31</v>
      </c>
      <c r="EN28" s="2"/>
      <c r="EO28" s="2" t="s">
        <v>3</v>
      </c>
      <c r="EP28" s="2"/>
      <c r="EQ28" s="2">
        <v>0</v>
      </c>
      <c r="ER28" s="2">
        <v>153.59</v>
      </c>
      <c r="ES28" s="2">
        <v>0</v>
      </c>
      <c r="ET28" s="2">
        <v>41.43</v>
      </c>
      <c r="EU28" s="2">
        <v>0</v>
      </c>
      <c r="EV28" s="2">
        <v>112.16</v>
      </c>
      <c r="EW28" s="2">
        <v>14.38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aca="true" t="shared" si="41" ref="FR28:FR35">ROUND(IF(AND(BH28=3,BI28=3),P28,0),2)</f>
        <v>0</v>
      </c>
      <c r="FS28" s="2">
        <v>0</v>
      </c>
      <c r="FT28" s="2"/>
      <c r="FU28" s="2"/>
      <c r="FV28" s="2"/>
      <c r="FW28" s="2"/>
      <c r="FX28" s="2">
        <v>91</v>
      </c>
      <c r="FY28" s="2">
        <v>52</v>
      </c>
      <c r="FZ28" s="2"/>
      <c r="GA28" s="2" t="s">
        <v>3</v>
      </c>
      <c r="GB28" s="2"/>
      <c r="GC28" s="2"/>
      <c r="GD28" s="2">
        <v>1</v>
      </c>
      <c r="GE28" s="2"/>
      <c r="GF28" s="2">
        <v>1518155157</v>
      </c>
      <c r="GG28" s="2">
        <v>2</v>
      </c>
      <c r="GH28" s="2">
        <v>2</v>
      </c>
      <c r="GI28" s="2">
        <v>-2</v>
      </c>
      <c r="GJ28" s="2">
        <v>0</v>
      </c>
      <c r="GK28" s="2">
        <v>0</v>
      </c>
      <c r="GL28" s="2">
        <f aca="true" t="shared" si="42" ref="GL28:GL35">ROUND(IF(AND(BH28=3,BI28=3,FS28&lt;&gt;0),P28,0),2)</f>
        <v>0</v>
      </c>
      <c r="GM28" s="2">
        <f aca="true" t="shared" si="43" ref="GM28:GM35">ROUND(O28+X28+Y28,2)+GX28</f>
        <v>734.7</v>
      </c>
      <c r="GN28" s="2">
        <f aca="true" t="shared" si="44" ref="GN28:GN35">IF(OR(BI28=0,BI28=1),ROUND(O28+X28+Y28,2),0)</f>
        <v>734.7</v>
      </c>
      <c r="GO28" s="2">
        <f aca="true" t="shared" si="45" ref="GO28:GO35">IF(BI28=2,ROUND(O28+X28+Y28,2),0)</f>
        <v>0</v>
      </c>
      <c r="GP28" s="2">
        <f aca="true" t="shared" si="46" ref="GP28:GP35">IF(BI28=4,ROUND(O28+X28+Y28,2)+GX28,0)</f>
        <v>0</v>
      </c>
      <c r="GQ28" s="2"/>
      <c r="GR28" s="2">
        <v>0</v>
      </c>
      <c r="GS28" s="2">
        <v>0</v>
      </c>
      <c r="GT28" s="2">
        <v>0</v>
      </c>
      <c r="GU28" s="2" t="s">
        <v>3</v>
      </c>
      <c r="GV28" s="2">
        <f aca="true" t="shared" si="47" ref="GV28:GV35">ROUND((GT28),2)</f>
        <v>0</v>
      </c>
      <c r="GW28" s="2">
        <v>1</v>
      </c>
      <c r="GX28" s="2">
        <f aca="true" t="shared" si="48" ref="GX28:GX35">ROUND(HC28*I28,2)</f>
        <v>0</v>
      </c>
      <c r="GY28" s="2"/>
      <c r="GZ28" s="2"/>
      <c r="HA28" s="2">
        <v>0</v>
      </c>
      <c r="HB28" s="2">
        <v>0</v>
      </c>
      <c r="HC28" s="2">
        <f aca="true" t="shared" si="49" ref="HC28:HC35">GV28*GW28</f>
        <v>0</v>
      </c>
      <c r="HD28" s="2"/>
      <c r="HE28" s="2" t="s">
        <v>3</v>
      </c>
      <c r="HF28" s="2" t="s">
        <v>3</v>
      </c>
      <c r="HG28" s="2"/>
      <c r="HH28" s="2"/>
      <c r="HI28" s="2"/>
      <c r="HJ28" s="2"/>
      <c r="HK28" s="2"/>
      <c r="HL28" s="2"/>
      <c r="HM28" s="2" t="s">
        <v>3</v>
      </c>
      <c r="HN28" s="2" t="s">
        <v>32</v>
      </c>
      <c r="HO28" s="2" t="s">
        <v>33</v>
      </c>
      <c r="HP28" s="2" t="s">
        <v>30</v>
      </c>
      <c r="HQ28" s="2" t="s">
        <v>30</v>
      </c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45" ht="12.75">
      <c r="A29">
        <v>17</v>
      </c>
      <c r="B29">
        <v>1</v>
      </c>
      <c r="C29">
        <f>ROW(SmtRes!A4)</f>
        <v>4</v>
      </c>
      <c r="D29">
        <f>ROW(EtalonRes!A4)</f>
        <v>4</v>
      </c>
      <c r="E29" t="s">
        <v>21</v>
      </c>
      <c r="F29" t="s">
        <v>22</v>
      </c>
      <c r="G29" t="s">
        <v>23</v>
      </c>
      <c r="H29" t="s">
        <v>24</v>
      </c>
      <c r="I29">
        <f>ROUND(234/100,7)</f>
        <v>2.34</v>
      </c>
      <c r="J29">
        <v>0</v>
      </c>
      <c r="K29">
        <f>ROUND(234/100,7)</f>
        <v>2.34</v>
      </c>
      <c r="O29">
        <f t="shared" si="21"/>
        <v>11083.62</v>
      </c>
      <c r="P29">
        <f t="shared" si="22"/>
        <v>0</v>
      </c>
      <c r="Q29">
        <f t="shared" si="23"/>
        <v>1283.57</v>
      </c>
      <c r="R29">
        <f t="shared" si="24"/>
        <v>0</v>
      </c>
      <c r="S29">
        <f t="shared" si="25"/>
        <v>9800.05</v>
      </c>
      <c r="T29">
        <f t="shared" si="26"/>
        <v>0</v>
      </c>
      <c r="U29">
        <f t="shared" si="27"/>
        <v>33.6492</v>
      </c>
      <c r="V29">
        <f t="shared" si="28"/>
        <v>0</v>
      </c>
      <c r="W29">
        <f t="shared" si="29"/>
        <v>0</v>
      </c>
      <c r="X29">
        <f t="shared" si="30"/>
        <v>8918.05</v>
      </c>
      <c r="Y29">
        <f t="shared" si="30"/>
        <v>5096.03</v>
      </c>
      <c r="AA29">
        <v>55655399</v>
      </c>
      <c r="AB29">
        <f t="shared" si="31"/>
        <v>153.59</v>
      </c>
      <c r="AC29">
        <f>ROUND((ES29),2)</f>
        <v>0</v>
      </c>
      <c r="AD29">
        <f>ROUND((((ET29)-(EU29))+AE29),2)</f>
        <v>41.43</v>
      </c>
      <c r="AE29">
        <f>ROUND((EU29),2)</f>
        <v>0</v>
      </c>
      <c r="AF29">
        <f>ROUND((EV29),2)</f>
        <v>112.16</v>
      </c>
      <c r="AG29">
        <f t="shared" si="32"/>
        <v>0</v>
      </c>
      <c r="AH29">
        <f>(EW29)</f>
        <v>14.38</v>
      </c>
      <c r="AI29">
        <f>(EX29)</f>
        <v>0</v>
      </c>
      <c r="AJ29">
        <f t="shared" si="33"/>
        <v>0</v>
      </c>
      <c r="AK29">
        <v>153.59</v>
      </c>
      <c r="AL29">
        <v>0</v>
      </c>
      <c r="AM29">
        <v>41.43</v>
      </c>
      <c r="AN29">
        <v>0</v>
      </c>
      <c r="AO29">
        <v>112.16</v>
      </c>
      <c r="AP29">
        <v>0</v>
      </c>
      <c r="AQ29">
        <v>14.38</v>
      </c>
      <c r="AR29">
        <v>0</v>
      </c>
      <c r="AS29">
        <v>0</v>
      </c>
      <c r="AT29">
        <v>91</v>
      </c>
      <c r="AU29">
        <v>52</v>
      </c>
      <c r="AV29">
        <v>1</v>
      </c>
      <c r="AW29">
        <v>1</v>
      </c>
      <c r="AZ29">
        <v>1</v>
      </c>
      <c r="BA29">
        <v>37.34</v>
      </c>
      <c r="BB29">
        <v>13.24</v>
      </c>
      <c r="BC29">
        <v>6.72</v>
      </c>
      <c r="BH29">
        <v>0</v>
      </c>
      <c r="BI29">
        <v>1</v>
      </c>
      <c r="BJ29" t="s">
        <v>25</v>
      </c>
      <c r="BM29">
        <v>46001</v>
      </c>
      <c r="BN29">
        <v>0</v>
      </c>
      <c r="BO29" t="s">
        <v>34</v>
      </c>
      <c r="BP29">
        <v>1</v>
      </c>
      <c r="BQ29">
        <v>2</v>
      </c>
      <c r="BR29">
        <v>0</v>
      </c>
      <c r="BS29">
        <v>37.34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91</v>
      </c>
      <c r="CA29">
        <v>52</v>
      </c>
      <c r="CE29">
        <v>0</v>
      </c>
      <c r="CF29">
        <v>0</v>
      </c>
      <c r="CG29">
        <v>0</v>
      </c>
      <c r="CM29">
        <v>0</v>
      </c>
      <c r="CO29">
        <v>0</v>
      </c>
      <c r="CP29">
        <f t="shared" si="34"/>
        <v>11083.619999999999</v>
      </c>
      <c r="CQ29">
        <f t="shared" si="35"/>
        <v>0</v>
      </c>
      <c r="CR29">
        <f>(((ET29)*BB29-(EU29)*BS29)+AE29*BS29)</f>
        <v>548.5332</v>
      </c>
      <c r="CS29">
        <f t="shared" si="36"/>
        <v>0</v>
      </c>
      <c r="CT29">
        <f t="shared" si="37"/>
        <v>4188.0544</v>
      </c>
      <c r="CU29">
        <f t="shared" si="38"/>
        <v>0</v>
      </c>
      <c r="CV29">
        <f t="shared" si="38"/>
        <v>14.38</v>
      </c>
      <c r="CW29">
        <f t="shared" si="38"/>
        <v>0</v>
      </c>
      <c r="CX29">
        <f t="shared" si="38"/>
        <v>0</v>
      </c>
      <c r="CY29">
        <f t="shared" si="39"/>
        <v>8918.0455</v>
      </c>
      <c r="CZ29">
        <f t="shared" si="40"/>
        <v>5096.026</v>
      </c>
      <c r="DL29" t="s">
        <v>26</v>
      </c>
      <c r="DM29" t="s">
        <v>27</v>
      </c>
      <c r="DN29">
        <v>0</v>
      </c>
      <c r="DO29">
        <v>0</v>
      </c>
      <c r="DP29">
        <v>1</v>
      </c>
      <c r="DQ29">
        <v>1</v>
      </c>
      <c r="DU29">
        <v>1005</v>
      </c>
      <c r="DV29" t="s">
        <v>24</v>
      </c>
      <c r="DW29" t="s">
        <v>24</v>
      </c>
      <c r="DX29">
        <v>100</v>
      </c>
      <c r="EE29">
        <v>55471764</v>
      </c>
      <c r="EF29">
        <v>2</v>
      </c>
      <c r="EG29" t="s">
        <v>28</v>
      </c>
      <c r="EH29">
        <v>40</v>
      </c>
      <c r="EI29" t="s">
        <v>29</v>
      </c>
      <c r="EJ29">
        <v>1</v>
      </c>
      <c r="EK29">
        <v>46001</v>
      </c>
      <c r="EL29" t="s">
        <v>30</v>
      </c>
      <c r="EM29" t="s">
        <v>31</v>
      </c>
      <c r="EQ29">
        <v>0</v>
      </c>
      <c r="ER29">
        <v>153.59</v>
      </c>
      <c r="ES29">
        <v>0</v>
      </c>
      <c r="ET29">
        <v>41.43</v>
      </c>
      <c r="EU29">
        <v>0</v>
      </c>
      <c r="EV29">
        <v>112.16</v>
      </c>
      <c r="EW29">
        <v>14.38</v>
      </c>
      <c r="EX29">
        <v>0</v>
      </c>
      <c r="EY29">
        <v>0</v>
      </c>
      <c r="FQ29">
        <v>0</v>
      </c>
      <c r="FR29">
        <f t="shared" si="41"/>
        <v>0</v>
      </c>
      <c r="FS29">
        <v>0</v>
      </c>
      <c r="FX29">
        <v>91</v>
      </c>
      <c r="FY29">
        <v>52</v>
      </c>
      <c r="GD29">
        <v>1</v>
      </c>
      <c r="GF29">
        <v>1518155157</v>
      </c>
      <c r="GG29">
        <v>2</v>
      </c>
      <c r="GH29">
        <v>2</v>
      </c>
      <c r="GI29">
        <v>4</v>
      </c>
      <c r="GJ29">
        <v>0</v>
      </c>
      <c r="GK29">
        <v>0</v>
      </c>
      <c r="GL29">
        <f t="shared" si="42"/>
        <v>0</v>
      </c>
      <c r="GM29">
        <f t="shared" si="43"/>
        <v>25097.7</v>
      </c>
      <c r="GN29">
        <f t="shared" si="44"/>
        <v>25097.7</v>
      </c>
      <c r="GO29">
        <f t="shared" si="45"/>
        <v>0</v>
      </c>
      <c r="GP29">
        <f t="shared" si="46"/>
        <v>0</v>
      </c>
      <c r="GR29">
        <v>0</v>
      </c>
      <c r="GS29">
        <v>0</v>
      </c>
      <c r="GT29">
        <v>0</v>
      </c>
      <c r="GV29">
        <f t="shared" si="47"/>
        <v>0</v>
      </c>
      <c r="GW29">
        <v>1</v>
      </c>
      <c r="GX29">
        <f t="shared" si="48"/>
        <v>0</v>
      </c>
      <c r="HA29">
        <v>0</v>
      </c>
      <c r="HB29">
        <v>0</v>
      </c>
      <c r="HC29">
        <f t="shared" si="49"/>
        <v>0</v>
      </c>
      <c r="HN29" t="s">
        <v>32</v>
      </c>
      <c r="HO29" t="s">
        <v>33</v>
      </c>
      <c r="HP29" t="s">
        <v>30</v>
      </c>
      <c r="HQ29" t="s">
        <v>30</v>
      </c>
      <c r="IK29">
        <v>0</v>
      </c>
    </row>
    <row r="30" spans="1:255" ht="12.75">
      <c r="A30" s="2">
        <v>17</v>
      </c>
      <c r="B30" s="2">
        <v>1</v>
      </c>
      <c r="C30" s="2">
        <f>ROW(SmtRes!A9)</f>
        <v>9</v>
      </c>
      <c r="D30" s="2">
        <f>ROW(EtalonRes!A10)</f>
        <v>10</v>
      </c>
      <c r="E30" s="2" t="s">
        <v>35</v>
      </c>
      <c r="F30" s="2" t="s">
        <v>36</v>
      </c>
      <c r="G30" s="2" t="s">
        <v>37</v>
      </c>
      <c r="H30" s="2" t="s">
        <v>24</v>
      </c>
      <c r="I30" s="2">
        <f>ROUND(ROUND(97/100,2),7)</f>
        <v>0.97</v>
      </c>
      <c r="J30" s="2">
        <v>0</v>
      </c>
      <c r="K30" s="2">
        <f>ROUND(ROUND(97/100,2),7)</f>
        <v>0.97</v>
      </c>
      <c r="L30" s="2"/>
      <c r="M30" s="2"/>
      <c r="N30" s="2"/>
      <c r="O30" s="2">
        <f t="shared" si="21"/>
        <v>253.19</v>
      </c>
      <c r="P30" s="2">
        <f t="shared" si="22"/>
        <v>0</v>
      </c>
      <c r="Q30" s="2">
        <f t="shared" si="23"/>
        <v>33.84</v>
      </c>
      <c r="R30" s="2">
        <f t="shared" si="24"/>
        <v>13.31</v>
      </c>
      <c r="S30" s="2">
        <f t="shared" si="25"/>
        <v>219.35</v>
      </c>
      <c r="T30" s="2">
        <f t="shared" si="26"/>
        <v>0</v>
      </c>
      <c r="U30" s="2">
        <f t="shared" si="27"/>
        <v>27.625600000000002</v>
      </c>
      <c r="V30" s="2">
        <f t="shared" si="28"/>
        <v>0.98552</v>
      </c>
      <c r="W30" s="2">
        <f t="shared" si="29"/>
        <v>0</v>
      </c>
      <c r="X30" s="2">
        <f t="shared" si="30"/>
        <v>260.58</v>
      </c>
      <c r="Y30" s="2">
        <f t="shared" si="30"/>
        <v>151.23</v>
      </c>
      <c r="Z30" s="2"/>
      <c r="AA30" s="2">
        <v>55655398</v>
      </c>
      <c r="AB30" s="2">
        <f t="shared" si="31"/>
        <v>261.02</v>
      </c>
      <c r="AC30" s="2">
        <f>ROUND(((ES30*ROUND(0,7))),2)</f>
        <v>0</v>
      </c>
      <c r="AD30" s="2">
        <f>ROUND(((((ET30*ROUND(0.8,7)))-((EU30*ROUND(0.8,7))))+AE30),2)</f>
        <v>34.89</v>
      </c>
      <c r="AE30" s="2">
        <f>ROUND(((EU30*ROUND(0.8,7))),2)</f>
        <v>13.72</v>
      </c>
      <c r="AF30" s="2">
        <f>ROUND(((EV30*ROUND(0.8,7))),2)</f>
        <v>226.13</v>
      </c>
      <c r="AG30" s="2">
        <f t="shared" si="32"/>
        <v>0</v>
      </c>
      <c r="AH30" s="2">
        <f>((EW30*ROUND(0.8,7)))</f>
        <v>28.480000000000004</v>
      </c>
      <c r="AI30" s="2">
        <f>((EX30*ROUND(0.8,7)))</f>
        <v>1.016</v>
      </c>
      <c r="AJ30" s="2">
        <f t="shared" si="33"/>
        <v>0</v>
      </c>
      <c r="AK30" s="2">
        <v>334.81</v>
      </c>
      <c r="AL30" s="2">
        <v>8.54</v>
      </c>
      <c r="AM30" s="2">
        <v>43.61</v>
      </c>
      <c r="AN30" s="2">
        <v>17.15</v>
      </c>
      <c r="AO30" s="2">
        <v>282.66</v>
      </c>
      <c r="AP30" s="2">
        <v>0</v>
      </c>
      <c r="AQ30" s="2">
        <v>35.6</v>
      </c>
      <c r="AR30" s="2">
        <v>1.27</v>
      </c>
      <c r="AS30" s="2">
        <v>0</v>
      </c>
      <c r="AT30" s="2">
        <v>112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38</v>
      </c>
      <c r="BK30" s="2"/>
      <c r="BL30" s="2"/>
      <c r="BM30" s="2">
        <v>11001</v>
      </c>
      <c r="BN30" s="2">
        <v>0</v>
      </c>
      <c r="BO30" s="2" t="s">
        <v>3</v>
      </c>
      <c r="BP30" s="2">
        <v>0</v>
      </c>
      <c r="BQ30" s="2">
        <v>2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112</v>
      </c>
      <c r="CA30" s="2">
        <v>65</v>
      </c>
      <c r="CB30" s="2" t="s">
        <v>3</v>
      </c>
      <c r="CC30" s="2"/>
      <c r="CD30" s="2"/>
      <c r="CE30" s="2">
        <v>0</v>
      </c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39</v>
      </c>
      <c r="CO30" s="2">
        <v>0</v>
      </c>
      <c r="CP30" s="2">
        <f t="shared" si="34"/>
        <v>253.19</v>
      </c>
      <c r="CQ30" s="2">
        <f t="shared" si="35"/>
        <v>0</v>
      </c>
      <c r="CR30" s="2">
        <f>((((ET30*ROUND(0.8,7)))*BB30-((EU30*ROUND(0.8,7)))*BS30)+AE30*BS30)</f>
        <v>34.888</v>
      </c>
      <c r="CS30" s="2">
        <f t="shared" si="36"/>
        <v>13.72</v>
      </c>
      <c r="CT30" s="2">
        <f t="shared" si="37"/>
        <v>226.13</v>
      </c>
      <c r="CU30" s="2">
        <f t="shared" si="38"/>
        <v>0</v>
      </c>
      <c r="CV30" s="2">
        <f t="shared" si="38"/>
        <v>28.480000000000004</v>
      </c>
      <c r="CW30" s="2">
        <f t="shared" si="38"/>
        <v>1.016</v>
      </c>
      <c r="CX30" s="2">
        <f t="shared" si="38"/>
        <v>0</v>
      </c>
      <c r="CY30" s="2">
        <f t="shared" si="39"/>
        <v>260.57919999999996</v>
      </c>
      <c r="CZ30" s="2">
        <f t="shared" si="40"/>
        <v>151.22899999999998</v>
      </c>
      <c r="DA30" s="2"/>
      <c r="DB30" s="2"/>
      <c r="DC30" s="2" t="s">
        <v>3</v>
      </c>
      <c r="DD30" s="2" t="s">
        <v>40</v>
      </c>
      <c r="DE30" s="2" t="s">
        <v>41</v>
      </c>
      <c r="DF30" s="2" t="s">
        <v>41</v>
      </c>
      <c r="DG30" s="2" t="s">
        <v>41</v>
      </c>
      <c r="DH30" s="2" t="s">
        <v>3</v>
      </c>
      <c r="DI30" s="2" t="s">
        <v>41</v>
      </c>
      <c r="DJ30" s="2" t="s">
        <v>41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1005</v>
      </c>
      <c r="DV30" s="2" t="s">
        <v>24</v>
      </c>
      <c r="DW30" s="2" t="s">
        <v>24</v>
      </c>
      <c r="DX30" s="2">
        <v>100</v>
      </c>
      <c r="DY30" s="2"/>
      <c r="DZ30" s="2" t="s">
        <v>3</v>
      </c>
      <c r="EA30" s="2" t="s">
        <v>3</v>
      </c>
      <c r="EB30" s="2" t="s">
        <v>3</v>
      </c>
      <c r="EC30" s="2" t="s">
        <v>3</v>
      </c>
      <c r="ED30" s="2"/>
      <c r="EE30" s="2">
        <v>55471663</v>
      </c>
      <c r="EF30" s="2">
        <v>2</v>
      </c>
      <c r="EG30" s="2" t="s">
        <v>28</v>
      </c>
      <c r="EH30" s="2">
        <v>11</v>
      </c>
      <c r="EI30" s="2" t="s">
        <v>42</v>
      </c>
      <c r="EJ30" s="2">
        <v>1</v>
      </c>
      <c r="EK30" s="2">
        <v>11001</v>
      </c>
      <c r="EL30" s="2" t="s">
        <v>42</v>
      </c>
      <c r="EM30" s="2" t="s">
        <v>43</v>
      </c>
      <c r="EN30" s="2"/>
      <c r="EO30" s="2" t="s">
        <v>44</v>
      </c>
      <c r="EP30" s="2"/>
      <c r="EQ30" s="2">
        <v>0</v>
      </c>
      <c r="ER30" s="2">
        <v>334.81</v>
      </c>
      <c r="ES30" s="2">
        <v>8.54</v>
      </c>
      <c r="ET30" s="2">
        <v>43.61</v>
      </c>
      <c r="EU30" s="2">
        <v>17.15</v>
      </c>
      <c r="EV30" s="2">
        <v>282.66</v>
      </c>
      <c r="EW30" s="2">
        <v>35.6</v>
      </c>
      <c r="EX30" s="2">
        <v>1.27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1"/>
        <v>0</v>
      </c>
      <c r="FS30" s="2">
        <v>0</v>
      </c>
      <c r="FT30" s="2"/>
      <c r="FU30" s="2"/>
      <c r="FV30" s="2"/>
      <c r="FW30" s="2"/>
      <c r="FX30" s="2">
        <v>112</v>
      </c>
      <c r="FY30" s="2">
        <v>65</v>
      </c>
      <c r="FZ30" s="2"/>
      <c r="GA30" s="2" t="s">
        <v>3</v>
      </c>
      <c r="GB30" s="2"/>
      <c r="GC30" s="2"/>
      <c r="GD30" s="2">
        <v>1</v>
      </c>
      <c r="GE30" s="2"/>
      <c r="GF30" s="2">
        <v>-1213530977</v>
      </c>
      <c r="GG30" s="2">
        <v>2</v>
      </c>
      <c r="GH30" s="2">
        <v>1</v>
      </c>
      <c r="GI30" s="2">
        <v>-2</v>
      </c>
      <c r="GJ30" s="2">
        <v>0</v>
      </c>
      <c r="GK30" s="2">
        <v>0</v>
      </c>
      <c r="GL30" s="2">
        <f t="shared" si="42"/>
        <v>0</v>
      </c>
      <c r="GM30" s="2">
        <f t="shared" si="43"/>
        <v>665</v>
      </c>
      <c r="GN30" s="2">
        <f t="shared" si="44"/>
        <v>665</v>
      </c>
      <c r="GO30" s="2">
        <f t="shared" si="45"/>
        <v>0</v>
      </c>
      <c r="GP30" s="2">
        <f t="shared" si="46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47"/>
        <v>0</v>
      </c>
      <c r="GW30" s="2">
        <v>1</v>
      </c>
      <c r="GX30" s="2">
        <f t="shared" si="48"/>
        <v>0</v>
      </c>
      <c r="GY30" s="2"/>
      <c r="GZ30" s="2"/>
      <c r="HA30" s="2">
        <v>0</v>
      </c>
      <c r="HB30" s="2">
        <v>0</v>
      </c>
      <c r="HC30" s="2">
        <f t="shared" si="49"/>
        <v>0</v>
      </c>
      <c r="HD30" s="2"/>
      <c r="HE30" s="2" t="s">
        <v>3</v>
      </c>
      <c r="HF30" s="2" t="s">
        <v>3</v>
      </c>
      <c r="HG30" s="2"/>
      <c r="HH30" s="2"/>
      <c r="HI30" s="2"/>
      <c r="HJ30" s="2"/>
      <c r="HK30" s="2"/>
      <c r="HL30" s="2"/>
      <c r="HM30" s="2" t="s">
        <v>3</v>
      </c>
      <c r="HN30" s="2" t="s">
        <v>45</v>
      </c>
      <c r="HO30" s="2" t="s">
        <v>46</v>
      </c>
      <c r="HP30" s="2" t="s">
        <v>42</v>
      </c>
      <c r="HQ30" s="2" t="s">
        <v>42</v>
      </c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45" ht="12.75">
      <c r="A31">
        <v>17</v>
      </c>
      <c r="B31">
        <v>1</v>
      </c>
      <c r="C31">
        <f>ROW(SmtRes!A14)</f>
        <v>14</v>
      </c>
      <c r="D31">
        <f>ROW(EtalonRes!A16)</f>
        <v>16</v>
      </c>
      <c r="E31" t="s">
        <v>35</v>
      </c>
      <c r="F31" t="s">
        <v>36</v>
      </c>
      <c r="G31" t="s">
        <v>37</v>
      </c>
      <c r="H31" t="s">
        <v>24</v>
      </c>
      <c r="I31">
        <f>ROUND(ROUND(97/100,2),7)</f>
        <v>0.97</v>
      </c>
      <c r="J31">
        <v>0</v>
      </c>
      <c r="K31">
        <f>ROUND(ROUND(97/100,2),7)</f>
        <v>0.97</v>
      </c>
      <c r="O31">
        <f t="shared" si="21"/>
        <v>8638.44</v>
      </c>
      <c r="P31">
        <f t="shared" si="22"/>
        <v>0</v>
      </c>
      <c r="Q31">
        <f t="shared" si="23"/>
        <v>448.06</v>
      </c>
      <c r="R31">
        <f t="shared" si="24"/>
        <v>496.94</v>
      </c>
      <c r="S31">
        <f t="shared" si="25"/>
        <v>8190.38</v>
      </c>
      <c r="T31">
        <f t="shared" si="26"/>
        <v>0</v>
      </c>
      <c r="U31">
        <f t="shared" si="27"/>
        <v>27.625600000000002</v>
      </c>
      <c r="V31">
        <f t="shared" si="28"/>
        <v>0.98552</v>
      </c>
      <c r="W31">
        <f t="shared" si="29"/>
        <v>0</v>
      </c>
      <c r="X31">
        <f t="shared" si="30"/>
        <v>9729.8</v>
      </c>
      <c r="Y31">
        <f t="shared" si="30"/>
        <v>5646.76</v>
      </c>
      <c r="AA31">
        <v>55655399</v>
      </c>
      <c r="AB31">
        <f t="shared" si="31"/>
        <v>261.02</v>
      </c>
      <c r="AC31">
        <f>ROUND(((ES31*ROUND(0,7))),2)</f>
        <v>0</v>
      </c>
      <c r="AD31">
        <f>ROUND(((((ET31*ROUND(0.8,7)))-((EU31*ROUND(0.8,7))))+AE31),2)</f>
        <v>34.89</v>
      </c>
      <c r="AE31">
        <f>ROUND(((EU31*ROUND(0.8,7))),2)</f>
        <v>13.72</v>
      </c>
      <c r="AF31">
        <f>ROUND(((EV31*ROUND(0.8,7))),2)</f>
        <v>226.13</v>
      </c>
      <c r="AG31">
        <f t="shared" si="32"/>
        <v>0</v>
      </c>
      <c r="AH31">
        <f>((EW31*ROUND(0.8,7)))</f>
        <v>28.480000000000004</v>
      </c>
      <c r="AI31">
        <f>((EX31*ROUND(0.8,7)))</f>
        <v>1.016</v>
      </c>
      <c r="AJ31">
        <f t="shared" si="33"/>
        <v>0</v>
      </c>
      <c r="AK31">
        <v>334.81</v>
      </c>
      <c r="AL31">
        <v>8.54</v>
      </c>
      <c r="AM31">
        <v>43.61</v>
      </c>
      <c r="AN31">
        <v>17.15</v>
      </c>
      <c r="AO31">
        <v>282.66</v>
      </c>
      <c r="AP31">
        <v>0</v>
      </c>
      <c r="AQ31">
        <v>35.6</v>
      </c>
      <c r="AR31">
        <v>1.27</v>
      </c>
      <c r="AS31">
        <v>0</v>
      </c>
      <c r="AT31">
        <v>112</v>
      </c>
      <c r="AU31">
        <v>65</v>
      </c>
      <c r="AV31">
        <v>1</v>
      </c>
      <c r="AW31">
        <v>1</v>
      </c>
      <c r="AZ31">
        <v>1</v>
      </c>
      <c r="BA31">
        <v>37.34</v>
      </c>
      <c r="BB31">
        <v>13.24</v>
      </c>
      <c r="BC31">
        <v>6.72</v>
      </c>
      <c r="BH31">
        <v>0</v>
      </c>
      <c r="BI31">
        <v>1</v>
      </c>
      <c r="BJ31" t="s">
        <v>38</v>
      </c>
      <c r="BM31">
        <v>11001</v>
      </c>
      <c r="BN31">
        <v>0</v>
      </c>
      <c r="BO31" t="s">
        <v>34</v>
      </c>
      <c r="BP31">
        <v>1</v>
      </c>
      <c r="BQ31">
        <v>2</v>
      </c>
      <c r="BR31">
        <v>0</v>
      </c>
      <c r="BS31">
        <v>37.34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112</v>
      </c>
      <c r="CA31">
        <v>65</v>
      </c>
      <c r="CE31">
        <v>0</v>
      </c>
      <c r="CF31">
        <v>0</v>
      </c>
      <c r="CG31">
        <v>0</v>
      </c>
      <c r="CM31">
        <v>0</v>
      </c>
      <c r="CN31" t="s">
        <v>39</v>
      </c>
      <c r="CO31">
        <v>0</v>
      </c>
      <c r="CP31">
        <f t="shared" si="34"/>
        <v>8638.44</v>
      </c>
      <c r="CQ31">
        <f t="shared" si="35"/>
        <v>0</v>
      </c>
      <c r="CR31">
        <f>((((ET31*ROUND(0.8,7)))*BB31-((EU31*ROUND(0.8,7)))*BS31)+AE31*BS31)</f>
        <v>461.91712000000007</v>
      </c>
      <c r="CS31">
        <f t="shared" si="36"/>
        <v>512.3048000000001</v>
      </c>
      <c r="CT31">
        <f t="shared" si="37"/>
        <v>8443.6942</v>
      </c>
      <c r="CU31">
        <f t="shared" si="38"/>
        <v>0</v>
      </c>
      <c r="CV31">
        <f t="shared" si="38"/>
        <v>28.480000000000004</v>
      </c>
      <c r="CW31">
        <f t="shared" si="38"/>
        <v>1.016</v>
      </c>
      <c r="CX31">
        <f t="shared" si="38"/>
        <v>0</v>
      </c>
      <c r="CY31">
        <f t="shared" si="39"/>
        <v>9729.7984</v>
      </c>
      <c r="CZ31">
        <f t="shared" si="40"/>
        <v>5646.757999999999</v>
      </c>
      <c r="DD31" t="s">
        <v>40</v>
      </c>
      <c r="DE31" t="s">
        <v>41</v>
      </c>
      <c r="DF31" t="s">
        <v>41</v>
      </c>
      <c r="DG31" t="s">
        <v>41</v>
      </c>
      <c r="DI31" t="s">
        <v>41</v>
      </c>
      <c r="DJ31" t="s">
        <v>41</v>
      </c>
      <c r="DN31">
        <v>0</v>
      </c>
      <c r="DO31">
        <v>0</v>
      </c>
      <c r="DP31">
        <v>1</v>
      </c>
      <c r="DQ31">
        <v>1</v>
      </c>
      <c r="DU31">
        <v>1005</v>
      </c>
      <c r="DV31" t="s">
        <v>24</v>
      </c>
      <c r="DW31" t="s">
        <v>24</v>
      </c>
      <c r="DX31">
        <v>100</v>
      </c>
      <c r="EE31">
        <v>55471663</v>
      </c>
      <c r="EF31">
        <v>2</v>
      </c>
      <c r="EG31" t="s">
        <v>28</v>
      </c>
      <c r="EH31">
        <v>11</v>
      </c>
      <c r="EI31" t="s">
        <v>42</v>
      </c>
      <c r="EJ31">
        <v>1</v>
      </c>
      <c r="EK31">
        <v>11001</v>
      </c>
      <c r="EL31" t="s">
        <v>42</v>
      </c>
      <c r="EM31" t="s">
        <v>43</v>
      </c>
      <c r="EO31" t="s">
        <v>44</v>
      </c>
      <c r="EQ31">
        <v>0</v>
      </c>
      <c r="ER31">
        <v>334.81</v>
      </c>
      <c r="ES31">
        <v>8.54</v>
      </c>
      <c r="ET31">
        <v>43.61</v>
      </c>
      <c r="EU31">
        <v>17.15</v>
      </c>
      <c r="EV31">
        <v>282.66</v>
      </c>
      <c r="EW31">
        <v>35.6</v>
      </c>
      <c r="EX31">
        <v>1.27</v>
      </c>
      <c r="EY31">
        <v>0</v>
      </c>
      <c r="FQ31">
        <v>0</v>
      </c>
      <c r="FR31">
        <f t="shared" si="41"/>
        <v>0</v>
      </c>
      <c r="FS31">
        <v>0</v>
      </c>
      <c r="FX31">
        <v>112</v>
      </c>
      <c r="FY31">
        <v>65</v>
      </c>
      <c r="GD31">
        <v>1</v>
      </c>
      <c r="GF31">
        <v>-1213530977</v>
      </c>
      <c r="GG31">
        <v>2</v>
      </c>
      <c r="GH31">
        <v>1</v>
      </c>
      <c r="GI31">
        <v>4</v>
      </c>
      <c r="GJ31">
        <v>0</v>
      </c>
      <c r="GK31">
        <v>0</v>
      </c>
      <c r="GL31">
        <f t="shared" si="42"/>
        <v>0</v>
      </c>
      <c r="GM31">
        <f t="shared" si="43"/>
        <v>24015</v>
      </c>
      <c r="GN31">
        <f t="shared" si="44"/>
        <v>24015</v>
      </c>
      <c r="GO31">
        <f t="shared" si="45"/>
        <v>0</v>
      </c>
      <c r="GP31">
        <f t="shared" si="46"/>
        <v>0</v>
      </c>
      <c r="GR31">
        <v>0</v>
      </c>
      <c r="GS31">
        <v>3</v>
      </c>
      <c r="GT31">
        <v>0</v>
      </c>
      <c r="GV31">
        <f t="shared" si="47"/>
        <v>0</v>
      </c>
      <c r="GW31">
        <v>1</v>
      </c>
      <c r="GX31">
        <f t="shared" si="48"/>
        <v>0</v>
      </c>
      <c r="HA31">
        <v>0</v>
      </c>
      <c r="HB31">
        <v>0</v>
      </c>
      <c r="HC31">
        <f t="shared" si="49"/>
        <v>0</v>
      </c>
      <c r="HN31" t="s">
        <v>45</v>
      </c>
      <c r="HO31" t="s">
        <v>46</v>
      </c>
      <c r="HP31" t="s">
        <v>42</v>
      </c>
      <c r="HQ31" t="s">
        <v>42</v>
      </c>
      <c r="IK31">
        <v>0</v>
      </c>
    </row>
    <row r="32" spans="1:255" ht="12.75">
      <c r="A32" s="2">
        <v>18</v>
      </c>
      <c r="B32" s="2">
        <v>1</v>
      </c>
      <c r="C32" s="2">
        <v>9</v>
      </c>
      <c r="D32" s="2"/>
      <c r="E32" s="2" t="s">
        <v>47</v>
      </c>
      <c r="F32" s="2" t="s">
        <v>48</v>
      </c>
      <c r="G32" s="2" t="s">
        <v>49</v>
      </c>
      <c r="H32" s="2" t="s">
        <v>50</v>
      </c>
      <c r="I32" s="2">
        <f>I30*J32</f>
        <v>0</v>
      </c>
      <c r="J32" s="2">
        <v>0</v>
      </c>
      <c r="K32" s="2">
        <v>-3.5</v>
      </c>
      <c r="L32" s="2"/>
      <c r="M32" s="2"/>
      <c r="N32" s="2"/>
      <c r="O32" s="2">
        <f t="shared" si="21"/>
        <v>0</v>
      </c>
      <c r="P32" s="2">
        <f t="shared" si="22"/>
        <v>0</v>
      </c>
      <c r="Q32" s="2">
        <f t="shared" si="23"/>
        <v>0</v>
      </c>
      <c r="R32" s="2">
        <f t="shared" si="24"/>
        <v>0</v>
      </c>
      <c r="S32" s="2">
        <f t="shared" si="25"/>
        <v>0</v>
      </c>
      <c r="T32" s="2">
        <f t="shared" si="26"/>
        <v>0</v>
      </c>
      <c r="U32" s="2">
        <f t="shared" si="27"/>
        <v>0</v>
      </c>
      <c r="V32" s="2">
        <f t="shared" si="28"/>
        <v>0</v>
      </c>
      <c r="W32" s="2">
        <f t="shared" si="29"/>
        <v>0</v>
      </c>
      <c r="X32" s="2">
        <f t="shared" si="30"/>
        <v>0</v>
      </c>
      <c r="Y32" s="2">
        <f t="shared" si="30"/>
        <v>0</v>
      </c>
      <c r="Z32" s="2"/>
      <c r="AA32" s="2">
        <v>55655398</v>
      </c>
      <c r="AB32" s="2">
        <f t="shared" si="31"/>
        <v>2.44</v>
      </c>
      <c r="AC32" s="2">
        <f>ROUND((ES32),2)</f>
        <v>2.44</v>
      </c>
      <c r="AD32" s="2">
        <f>ROUND((((ET32)-(EU32))+AE32),2)</f>
        <v>0</v>
      </c>
      <c r="AE32" s="2">
        <f>ROUND((EU32),2)</f>
        <v>0</v>
      </c>
      <c r="AF32" s="2">
        <f>ROUND((EV32),2)</f>
        <v>0</v>
      </c>
      <c r="AG32" s="2">
        <f t="shared" si="32"/>
        <v>0</v>
      </c>
      <c r="AH32" s="2">
        <f>(EW32)</f>
        <v>0</v>
      </c>
      <c r="AI32" s="2">
        <f>(EX32)</f>
        <v>0</v>
      </c>
      <c r="AJ32" s="2">
        <f t="shared" si="33"/>
        <v>0</v>
      </c>
      <c r="AK32" s="2">
        <v>2.44</v>
      </c>
      <c r="AL32" s="2">
        <v>2.44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112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3</v>
      </c>
      <c r="BI32" s="2">
        <v>1</v>
      </c>
      <c r="BJ32" s="2" t="s">
        <v>51</v>
      </c>
      <c r="BK32" s="2"/>
      <c r="BL32" s="2"/>
      <c r="BM32" s="2">
        <v>11001</v>
      </c>
      <c r="BN32" s="2">
        <v>0</v>
      </c>
      <c r="BO32" s="2" t="s">
        <v>3</v>
      </c>
      <c r="BP32" s="2">
        <v>0</v>
      </c>
      <c r="BQ32" s="2">
        <v>2</v>
      </c>
      <c r="BR32" s="2">
        <v>1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112</v>
      </c>
      <c r="CA32" s="2">
        <v>65</v>
      </c>
      <c r="CB32" s="2" t="s">
        <v>3</v>
      </c>
      <c r="CC32" s="2"/>
      <c r="CD32" s="2"/>
      <c r="CE32" s="2">
        <v>0</v>
      </c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39</v>
      </c>
      <c r="CO32" s="2">
        <v>0</v>
      </c>
      <c r="CP32" s="2">
        <f t="shared" si="34"/>
        <v>0</v>
      </c>
      <c r="CQ32" s="2">
        <f t="shared" si="35"/>
        <v>2.44</v>
      </c>
      <c r="CR32" s="2">
        <f>(((ET32)*BB32-(EU32)*BS32)+AE32*BS32)</f>
        <v>0</v>
      </c>
      <c r="CS32" s="2">
        <f t="shared" si="36"/>
        <v>0</v>
      </c>
      <c r="CT32" s="2">
        <f t="shared" si="37"/>
        <v>0</v>
      </c>
      <c r="CU32" s="2">
        <f t="shared" si="38"/>
        <v>0</v>
      </c>
      <c r="CV32" s="2">
        <f t="shared" si="38"/>
        <v>0</v>
      </c>
      <c r="CW32" s="2">
        <f t="shared" si="38"/>
        <v>0</v>
      </c>
      <c r="CX32" s="2">
        <f t="shared" si="38"/>
        <v>0</v>
      </c>
      <c r="CY32" s="2">
        <f t="shared" si="39"/>
        <v>0</v>
      </c>
      <c r="CZ32" s="2">
        <f t="shared" si="40"/>
        <v>0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1007</v>
      </c>
      <c r="DV32" s="2" t="s">
        <v>50</v>
      </c>
      <c r="DW32" s="2" t="s">
        <v>50</v>
      </c>
      <c r="DX32" s="2">
        <v>1</v>
      </c>
      <c r="DY32" s="2"/>
      <c r="DZ32" s="2" t="s">
        <v>3</v>
      </c>
      <c r="EA32" s="2" t="s">
        <v>3</v>
      </c>
      <c r="EB32" s="2" t="s">
        <v>3</v>
      </c>
      <c r="EC32" s="2" t="s">
        <v>3</v>
      </c>
      <c r="ED32" s="2"/>
      <c r="EE32" s="2">
        <v>55471663</v>
      </c>
      <c r="EF32" s="2">
        <v>2</v>
      </c>
      <c r="EG32" s="2" t="s">
        <v>28</v>
      </c>
      <c r="EH32" s="2">
        <v>11</v>
      </c>
      <c r="EI32" s="2" t="s">
        <v>42</v>
      </c>
      <c r="EJ32" s="2">
        <v>1</v>
      </c>
      <c r="EK32" s="2">
        <v>11001</v>
      </c>
      <c r="EL32" s="2" t="s">
        <v>42</v>
      </c>
      <c r="EM32" s="2" t="s">
        <v>43</v>
      </c>
      <c r="EN32" s="2"/>
      <c r="EO32" s="2" t="s">
        <v>44</v>
      </c>
      <c r="EP32" s="2"/>
      <c r="EQ32" s="2">
        <v>0</v>
      </c>
      <c r="ER32" s="2">
        <v>2.44</v>
      </c>
      <c r="ES32" s="2">
        <v>2.44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1"/>
        <v>0</v>
      </c>
      <c r="FS32" s="2">
        <v>0</v>
      </c>
      <c r="FT32" s="2"/>
      <c r="FU32" s="2"/>
      <c r="FV32" s="2"/>
      <c r="FW32" s="2"/>
      <c r="FX32" s="2">
        <v>112</v>
      </c>
      <c r="FY32" s="2">
        <v>65</v>
      </c>
      <c r="FZ32" s="2"/>
      <c r="GA32" s="2" t="s">
        <v>3</v>
      </c>
      <c r="GB32" s="2"/>
      <c r="GC32" s="2"/>
      <c r="GD32" s="2">
        <v>1</v>
      </c>
      <c r="GE32" s="2"/>
      <c r="GF32" s="2">
        <v>-143474561</v>
      </c>
      <c r="GG32" s="2">
        <v>2</v>
      </c>
      <c r="GH32" s="2">
        <v>1</v>
      </c>
      <c r="GI32" s="2">
        <v>-2</v>
      </c>
      <c r="GJ32" s="2">
        <v>0</v>
      </c>
      <c r="GK32" s="2">
        <v>0</v>
      </c>
      <c r="GL32" s="2">
        <f t="shared" si="42"/>
        <v>0</v>
      </c>
      <c r="GM32" s="2">
        <f t="shared" si="43"/>
        <v>0</v>
      </c>
      <c r="GN32" s="2">
        <f t="shared" si="44"/>
        <v>0</v>
      </c>
      <c r="GO32" s="2">
        <f t="shared" si="45"/>
        <v>0</v>
      </c>
      <c r="GP32" s="2">
        <f t="shared" si="46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47"/>
        <v>0</v>
      </c>
      <c r="GW32" s="2">
        <v>1</v>
      </c>
      <c r="GX32" s="2">
        <f t="shared" si="48"/>
        <v>0</v>
      </c>
      <c r="GY32" s="2"/>
      <c r="GZ32" s="2"/>
      <c r="HA32" s="2">
        <v>0</v>
      </c>
      <c r="HB32" s="2">
        <v>0</v>
      </c>
      <c r="HC32" s="2">
        <f t="shared" si="49"/>
        <v>0</v>
      </c>
      <c r="HD32" s="2"/>
      <c r="HE32" s="2" t="s">
        <v>3</v>
      </c>
      <c r="HF32" s="2" t="s">
        <v>3</v>
      </c>
      <c r="HG32" s="2"/>
      <c r="HH32" s="2"/>
      <c r="HI32" s="2"/>
      <c r="HJ32" s="2"/>
      <c r="HK32" s="2"/>
      <c r="HL32" s="2"/>
      <c r="HM32" s="2" t="s">
        <v>40</v>
      </c>
      <c r="HN32" s="2" t="s">
        <v>45</v>
      </c>
      <c r="HO32" s="2" t="s">
        <v>46</v>
      </c>
      <c r="HP32" s="2" t="s">
        <v>42</v>
      </c>
      <c r="HQ32" s="2" t="s">
        <v>42</v>
      </c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45" ht="12.75">
      <c r="A33">
        <v>18</v>
      </c>
      <c r="B33">
        <v>1</v>
      </c>
      <c r="C33">
        <v>14</v>
      </c>
      <c r="E33" t="s">
        <v>47</v>
      </c>
      <c r="F33" t="s">
        <v>48</v>
      </c>
      <c r="G33" t="s">
        <v>49</v>
      </c>
      <c r="H33" t="s">
        <v>50</v>
      </c>
      <c r="I33">
        <f>I31*J33</f>
        <v>0</v>
      </c>
      <c r="J33">
        <v>0</v>
      </c>
      <c r="K33">
        <v>-3.5</v>
      </c>
      <c r="O33">
        <f t="shared" si="21"/>
        <v>0</v>
      </c>
      <c r="P33">
        <f t="shared" si="22"/>
        <v>0</v>
      </c>
      <c r="Q33">
        <f t="shared" si="23"/>
        <v>0</v>
      </c>
      <c r="R33">
        <f t="shared" si="24"/>
        <v>0</v>
      </c>
      <c r="S33">
        <f t="shared" si="25"/>
        <v>0</v>
      </c>
      <c r="T33">
        <f t="shared" si="26"/>
        <v>0</v>
      </c>
      <c r="U33">
        <f t="shared" si="27"/>
        <v>0</v>
      </c>
      <c r="V33">
        <f t="shared" si="28"/>
        <v>0</v>
      </c>
      <c r="W33">
        <f t="shared" si="29"/>
        <v>0</v>
      </c>
      <c r="X33">
        <f t="shared" si="30"/>
        <v>0</v>
      </c>
      <c r="Y33">
        <f t="shared" si="30"/>
        <v>0</v>
      </c>
      <c r="AA33">
        <v>55655399</v>
      </c>
      <c r="AB33">
        <f t="shared" si="31"/>
        <v>2.44</v>
      </c>
      <c r="AC33">
        <f>ROUND((ES33),2)</f>
        <v>2.44</v>
      </c>
      <c r="AD33">
        <f>ROUND((((ET33)-(EU33))+AE33),2)</f>
        <v>0</v>
      </c>
      <c r="AE33">
        <f>ROUND((EU33),2)</f>
        <v>0</v>
      </c>
      <c r="AF33">
        <f>ROUND((EV33),2)</f>
        <v>0</v>
      </c>
      <c r="AG33">
        <f t="shared" si="32"/>
        <v>0</v>
      </c>
      <c r="AH33">
        <f>(EW33)</f>
        <v>0</v>
      </c>
      <c r="AI33">
        <f>(EX33)</f>
        <v>0</v>
      </c>
      <c r="AJ33">
        <f t="shared" si="33"/>
        <v>0</v>
      </c>
      <c r="AK33">
        <v>2.44</v>
      </c>
      <c r="AL33">
        <v>2.44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112</v>
      </c>
      <c r="AU33">
        <v>65</v>
      </c>
      <c r="AV33">
        <v>1</v>
      </c>
      <c r="AW33">
        <v>1</v>
      </c>
      <c r="AZ33">
        <v>1</v>
      </c>
      <c r="BA33">
        <v>1</v>
      </c>
      <c r="BB33">
        <v>1</v>
      </c>
      <c r="BC33">
        <v>6.72</v>
      </c>
      <c r="BH33">
        <v>3</v>
      </c>
      <c r="BI33">
        <v>1</v>
      </c>
      <c r="BJ33" t="s">
        <v>51</v>
      </c>
      <c r="BM33">
        <v>11001</v>
      </c>
      <c r="BN33">
        <v>0</v>
      </c>
      <c r="BO33" t="s">
        <v>34</v>
      </c>
      <c r="BP33">
        <v>1</v>
      </c>
      <c r="BQ33">
        <v>2</v>
      </c>
      <c r="BR33">
        <v>1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112</v>
      </c>
      <c r="CA33">
        <v>65</v>
      </c>
      <c r="CE33">
        <v>0</v>
      </c>
      <c r="CF33">
        <v>0</v>
      </c>
      <c r="CG33">
        <v>0</v>
      </c>
      <c r="CM33">
        <v>0</v>
      </c>
      <c r="CN33" t="s">
        <v>39</v>
      </c>
      <c r="CO33">
        <v>0</v>
      </c>
      <c r="CP33">
        <f t="shared" si="34"/>
        <v>0</v>
      </c>
      <c r="CQ33">
        <f t="shared" si="35"/>
        <v>16.3968</v>
      </c>
      <c r="CR33">
        <f>(((ET33)*BB33-(EU33)*BS33)+AE33*BS33)</f>
        <v>0</v>
      </c>
      <c r="CS33">
        <f t="shared" si="36"/>
        <v>0</v>
      </c>
      <c r="CT33">
        <f t="shared" si="37"/>
        <v>0</v>
      </c>
      <c r="CU33">
        <f t="shared" si="38"/>
        <v>0</v>
      </c>
      <c r="CV33">
        <f t="shared" si="38"/>
        <v>0</v>
      </c>
      <c r="CW33">
        <f t="shared" si="38"/>
        <v>0</v>
      </c>
      <c r="CX33">
        <f t="shared" si="38"/>
        <v>0</v>
      </c>
      <c r="CY33">
        <f t="shared" si="39"/>
        <v>0</v>
      </c>
      <c r="CZ33">
        <f t="shared" si="40"/>
        <v>0</v>
      </c>
      <c r="DN33">
        <v>0</v>
      </c>
      <c r="DO33">
        <v>0</v>
      </c>
      <c r="DP33">
        <v>1</v>
      </c>
      <c r="DQ33">
        <v>1</v>
      </c>
      <c r="DU33">
        <v>1007</v>
      </c>
      <c r="DV33" t="s">
        <v>50</v>
      </c>
      <c r="DW33" t="s">
        <v>50</v>
      </c>
      <c r="DX33">
        <v>1</v>
      </c>
      <c r="EE33">
        <v>55471663</v>
      </c>
      <c r="EF33">
        <v>2</v>
      </c>
      <c r="EG33" t="s">
        <v>28</v>
      </c>
      <c r="EH33">
        <v>11</v>
      </c>
      <c r="EI33" t="s">
        <v>42</v>
      </c>
      <c r="EJ33">
        <v>1</v>
      </c>
      <c r="EK33">
        <v>11001</v>
      </c>
      <c r="EL33" t="s">
        <v>42</v>
      </c>
      <c r="EM33" t="s">
        <v>43</v>
      </c>
      <c r="EO33" t="s">
        <v>44</v>
      </c>
      <c r="EQ33">
        <v>0</v>
      </c>
      <c r="ER33">
        <v>2.44</v>
      </c>
      <c r="ES33">
        <v>2.44</v>
      </c>
      <c r="ET33">
        <v>0</v>
      </c>
      <c r="EU33">
        <v>0</v>
      </c>
      <c r="EV33">
        <v>0</v>
      </c>
      <c r="EW33">
        <v>0</v>
      </c>
      <c r="EX33">
        <v>0</v>
      </c>
      <c r="FQ33">
        <v>0</v>
      </c>
      <c r="FR33">
        <f t="shared" si="41"/>
        <v>0</v>
      </c>
      <c r="FS33">
        <v>0</v>
      </c>
      <c r="FX33">
        <v>112</v>
      </c>
      <c r="FY33">
        <v>65</v>
      </c>
      <c r="GD33">
        <v>1</v>
      </c>
      <c r="GF33">
        <v>-143474561</v>
      </c>
      <c r="GG33">
        <v>2</v>
      </c>
      <c r="GH33">
        <v>1</v>
      </c>
      <c r="GI33">
        <v>4</v>
      </c>
      <c r="GJ33">
        <v>0</v>
      </c>
      <c r="GK33">
        <v>0</v>
      </c>
      <c r="GL33">
        <f t="shared" si="42"/>
        <v>0</v>
      </c>
      <c r="GM33">
        <f t="shared" si="43"/>
        <v>0</v>
      </c>
      <c r="GN33">
        <f t="shared" si="44"/>
        <v>0</v>
      </c>
      <c r="GO33">
        <f t="shared" si="45"/>
        <v>0</v>
      </c>
      <c r="GP33">
        <f t="shared" si="46"/>
        <v>0</v>
      </c>
      <c r="GR33">
        <v>0</v>
      </c>
      <c r="GS33">
        <v>3</v>
      </c>
      <c r="GT33">
        <v>0</v>
      </c>
      <c r="GV33">
        <f t="shared" si="47"/>
        <v>0</v>
      </c>
      <c r="GW33">
        <v>1</v>
      </c>
      <c r="GX33">
        <f t="shared" si="48"/>
        <v>0</v>
      </c>
      <c r="HA33">
        <v>0</v>
      </c>
      <c r="HB33">
        <v>0</v>
      </c>
      <c r="HC33">
        <f t="shared" si="49"/>
        <v>0</v>
      </c>
      <c r="HM33" t="s">
        <v>40</v>
      </c>
      <c r="HN33" t="s">
        <v>45</v>
      </c>
      <c r="HO33" t="s">
        <v>46</v>
      </c>
      <c r="HP33" t="s">
        <v>42</v>
      </c>
      <c r="HQ33" t="s">
        <v>42</v>
      </c>
      <c r="IK33">
        <v>0</v>
      </c>
    </row>
    <row r="34" spans="1:255" ht="12.75">
      <c r="A34" s="2">
        <v>17</v>
      </c>
      <c r="B34" s="2">
        <v>1</v>
      </c>
      <c r="C34" s="2">
        <f>ROW(SmtRes!A18)</f>
        <v>18</v>
      </c>
      <c r="D34" s="2">
        <f>ROW(EtalonRes!A21)</f>
        <v>21</v>
      </c>
      <c r="E34" s="2" t="s">
        <v>52</v>
      </c>
      <c r="F34" s="2" t="s">
        <v>53</v>
      </c>
      <c r="G34" s="2" t="s">
        <v>54</v>
      </c>
      <c r="H34" s="2" t="s">
        <v>24</v>
      </c>
      <c r="I34" s="2">
        <f>ROUND(ROUND(97/100,2),7)</f>
        <v>0.97</v>
      </c>
      <c r="J34" s="2">
        <v>0</v>
      </c>
      <c r="K34" s="2">
        <f>ROUND(ROUND(97/100,2),7)</f>
        <v>0.97</v>
      </c>
      <c r="L34" s="2"/>
      <c r="M34" s="2"/>
      <c r="N34" s="2"/>
      <c r="O34" s="2">
        <f t="shared" si="21"/>
        <v>17.06</v>
      </c>
      <c r="P34" s="2">
        <f t="shared" si="22"/>
        <v>0</v>
      </c>
      <c r="Q34" s="2">
        <f t="shared" si="23"/>
        <v>11.73</v>
      </c>
      <c r="R34" s="2">
        <f t="shared" si="24"/>
        <v>4.4</v>
      </c>
      <c r="S34" s="2">
        <f t="shared" si="25"/>
        <v>5.33</v>
      </c>
      <c r="T34" s="2">
        <f t="shared" si="26"/>
        <v>0</v>
      </c>
      <c r="U34" s="2">
        <f t="shared" si="27"/>
        <v>0.68288</v>
      </c>
      <c r="V34" s="2">
        <f t="shared" si="28"/>
        <v>0.32592</v>
      </c>
      <c r="W34" s="2">
        <f t="shared" si="29"/>
        <v>0</v>
      </c>
      <c r="X34" s="2">
        <f t="shared" si="30"/>
        <v>10.9</v>
      </c>
      <c r="Y34" s="2">
        <f t="shared" si="30"/>
        <v>6.32</v>
      </c>
      <c r="Z34" s="2"/>
      <c r="AA34" s="2">
        <v>55655398</v>
      </c>
      <c r="AB34" s="2">
        <f t="shared" si="31"/>
        <v>17.58</v>
      </c>
      <c r="AC34" s="2">
        <f>ROUND(((ES34*ROUND((0*2),7))),2)</f>
        <v>0</v>
      </c>
      <c r="AD34" s="2">
        <f>ROUND(((((ET34*ROUND((0.8*2),7)))-((EU34*ROUND((0.8*2),7))))+AE34),2)</f>
        <v>12.09</v>
      </c>
      <c r="AE34" s="2">
        <f>ROUND(((EU34*ROUND((0.8*2),7))),2)</f>
        <v>4.54</v>
      </c>
      <c r="AF34" s="2">
        <f>ROUND(((EV34*ROUND((0.8*2),7))),2)</f>
        <v>5.49</v>
      </c>
      <c r="AG34" s="2">
        <f t="shared" si="32"/>
        <v>0</v>
      </c>
      <c r="AH34" s="2">
        <f>((EW34*ROUND((0.8*2),7)))</f>
        <v>0.7040000000000001</v>
      </c>
      <c r="AI34" s="2">
        <f>((EX34*ROUND((0.8*2),7)))</f>
        <v>0.336</v>
      </c>
      <c r="AJ34" s="2">
        <f t="shared" si="33"/>
        <v>0</v>
      </c>
      <c r="AK34" s="2">
        <v>10.99</v>
      </c>
      <c r="AL34" s="2">
        <v>0</v>
      </c>
      <c r="AM34" s="2">
        <v>7.56</v>
      </c>
      <c r="AN34" s="2">
        <v>2.84</v>
      </c>
      <c r="AO34" s="2">
        <v>3.43</v>
      </c>
      <c r="AP34" s="2">
        <v>0</v>
      </c>
      <c r="AQ34" s="2">
        <v>0.44</v>
      </c>
      <c r="AR34" s="2">
        <v>0.21</v>
      </c>
      <c r="AS34" s="2">
        <v>0</v>
      </c>
      <c r="AT34" s="2">
        <v>112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1</v>
      </c>
      <c r="BJ34" s="2" t="s">
        <v>55</v>
      </c>
      <c r="BK34" s="2"/>
      <c r="BL34" s="2"/>
      <c r="BM34" s="2">
        <v>11001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112</v>
      </c>
      <c r="CA34" s="2">
        <v>65</v>
      </c>
      <c r="CB34" s="2" t="s">
        <v>3</v>
      </c>
      <c r="CC34" s="2"/>
      <c r="CD34" s="2"/>
      <c r="CE34" s="2">
        <v>0</v>
      </c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39</v>
      </c>
      <c r="CO34" s="2">
        <v>0</v>
      </c>
      <c r="CP34" s="2">
        <f t="shared" si="34"/>
        <v>17.060000000000002</v>
      </c>
      <c r="CQ34" s="2">
        <f t="shared" si="35"/>
        <v>0</v>
      </c>
      <c r="CR34" s="2">
        <f>((((ET34*ROUND((0.8*2),7)))*BB34-((EU34*ROUND((0.8*2),7)))*BS34)+AE34*BS34)</f>
        <v>12.092</v>
      </c>
      <c r="CS34" s="2">
        <f t="shared" si="36"/>
        <v>4.54</v>
      </c>
      <c r="CT34" s="2">
        <f t="shared" si="37"/>
        <v>5.49</v>
      </c>
      <c r="CU34" s="2">
        <f t="shared" si="38"/>
        <v>0</v>
      </c>
      <c r="CV34" s="2">
        <f t="shared" si="38"/>
        <v>0.7040000000000001</v>
      </c>
      <c r="CW34" s="2">
        <f t="shared" si="38"/>
        <v>0.336</v>
      </c>
      <c r="CX34" s="2">
        <f t="shared" si="38"/>
        <v>0</v>
      </c>
      <c r="CY34" s="2">
        <f t="shared" si="39"/>
        <v>10.8976</v>
      </c>
      <c r="CZ34" s="2">
        <f t="shared" si="40"/>
        <v>6.3245000000000005</v>
      </c>
      <c r="DA34" s="2"/>
      <c r="DB34" s="2"/>
      <c r="DC34" s="2" t="s">
        <v>3</v>
      </c>
      <c r="DD34" s="2" t="s">
        <v>56</v>
      </c>
      <c r="DE34" s="2" t="s">
        <v>57</v>
      </c>
      <c r="DF34" s="2" t="s">
        <v>57</v>
      </c>
      <c r="DG34" s="2" t="s">
        <v>57</v>
      </c>
      <c r="DH34" s="2" t="s">
        <v>3</v>
      </c>
      <c r="DI34" s="2" t="s">
        <v>57</v>
      </c>
      <c r="DJ34" s="2" t="s">
        <v>57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1005</v>
      </c>
      <c r="DV34" s="2" t="s">
        <v>24</v>
      </c>
      <c r="DW34" s="2" t="s">
        <v>24</v>
      </c>
      <c r="DX34" s="2">
        <v>100</v>
      </c>
      <c r="DY34" s="2"/>
      <c r="DZ34" s="2" t="s">
        <v>3</v>
      </c>
      <c r="EA34" s="2" t="s">
        <v>3</v>
      </c>
      <c r="EB34" s="2" t="s">
        <v>3</v>
      </c>
      <c r="EC34" s="2" t="s">
        <v>3</v>
      </c>
      <c r="ED34" s="2"/>
      <c r="EE34" s="2">
        <v>55471663</v>
      </c>
      <c r="EF34" s="2">
        <v>2</v>
      </c>
      <c r="EG34" s="2" t="s">
        <v>28</v>
      </c>
      <c r="EH34" s="2">
        <v>11</v>
      </c>
      <c r="EI34" s="2" t="s">
        <v>42</v>
      </c>
      <c r="EJ34" s="2">
        <v>1</v>
      </c>
      <c r="EK34" s="2">
        <v>11001</v>
      </c>
      <c r="EL34" s="2" t="s">
        <v>42</v>
      </c>
      <c r="EM34" s="2" t="s">
        <v>43</v>
      </c>
      <c r="EN34" s="2"/>
      <c r="EO34" s="2" t="s">
        <v>44</v>
      </c>
      <c r="EP34" s="2"/>
      <c r="EQ34" s="2">
        <v>0</v>
      </c>
      <c r="ER34" s="2">
        <v>10.99</v>
      </c>
      <c r="ES34" s="2">
        <v>0</v>
      </c>
      <c r="ET34" s="2">
        <v>7.56</v>
      </c>
      <c r="EU34" s="2">
        <v>2.84</v>
      </c>
      <c r="EV34" s="2">
        <v>3.43</v>
      </c>
      <c r="EW34" s="2">
        <v>0.44</v>
      </c>
      <c r="EX34" s="2">
        <v>0.21</v>
      </c>
      <c r="EY34" s="2">
        <v>0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1"/>
        <v>0</v>
      </c>
      <c r="FS34" s="2">
        <v>0</v>
      </c>
      <c r="FT34" s="2"/>
      <c r="FU34" s="2"/>
      <c r="FV34" s="2"/>
      <c r="FW34" s="2"/>
      <c r="FX34" s="2">
        <v>112</v>
      </c>
      <c r="FY34" s="2">
        <v>65</v>
      </c>
      <c r="FZ34" s="2"/>
      <c r="GA34" s="2" t="s">
        <v>3</v>
      </c>
      <c r="GB34" s="2"/>
      <c r="GC34" s="2"/>
      <c r="GD34" s="2">
        <v>1</v>
      </c>
      <c r="GE34" s="2"/>
      <c r="GF34" s="2">
        <v>64850844</v>
      </c>
      <c r="GG34" s="2">
        <v>2</v>
      </c>
      <c r="GH34" s="2">
        <v>1</v>
      </c>
      <c r="GI34" s="2">
        <v>-2</v>
      </c>
      <c r="GJ34" s="2">
        <v>0</v>
      </c>
      <c r="GK34" s="2">
        <v>0</v>
      </c>
      <c r="GL34" s="2">
        <f t="shared" si="42"/>
        <v>0</v>
      </c>
      <c r="GM34" s="2">
        <f t="shared" si="43"/>
        <v>34.28</v>
      </c>
      <c r="GN34" s="2">
        <f t="shared" si="44"/>
        <v>34.28</v>
      </c>
      <c r="GO34" s="2">
        <f t="shared" si="45"/>
        <v>0</v>
      </c>
      <c r="GP34" s="2">
        <f t="shared" si="46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47"/>
        <v>0</v>
      </c>
      <c r="GW34" s="2">
        <v>1</v>
      </c>
      <c r="GX34" s="2">
        <f t="shared" si="48"/>
        <v>0</v>
      </c>
      <c r="GY34" s="2"/>
      <c r="GZ34" s="2"/>
      <c r="HA34" s="2">
        <v>0</v>
      </c>
      <c r="HB34" s="2">
        <v>0</v>
      </c>
      <c r="HC34" s="2">
        <f t="shared" si="49"/>
        <v>0</v>
      </c>
      <c r="HD34" s="2"/>
      <c r="HE34" s="2" t="s">
        <v>3</v>
      </c>
      <c r="HF34" s="2" t="s">
        <v>3</v>
      </c>
      <c r="HG34" s="2"/>
      <c r="HH34" s="2"/>
      <c r="HI34" s="2"/>
      <c r="HJ34" s="2"/>
      <c r="HK34" s="2"/>
      <c r="HL34" s="2"/>
      <c r="HM34" s="2" t="s">
        <v>3</v>
      </c>
      <c r="HN34" s="2" t="s">
        <v>45</v>
      </c>
      <c r="HO34" s="2" t="s">
        <v>46</v>
      </c>
      <c r="HP34" s="2" t="s">
        <v>42</v>
      </c>
      <c r="HQ34" s="2" t="s">
        <v>42</v>
      </c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45" ht="12.75">
      <c r="A35">
        <v>17</v>
      </c>
      <c r="B35">
        <v>1</v>
      </c>
      <c r="C35">
        <f>ROW(SmtRes!A22)</f>
        <v>22</v>
      </c>
      <c r="D35">
        <f>ROW(EtalonRes!A26)</f>
        <v>26</v>
      </c>
      <c r="E35" t="s">
        <v>52</v>
      </c>
      <c r="F35" t="s">
        <v>53</v>
      </c>
      <c r="G35" t="s">
        <v>54</v>
      </c>
      <c r="H35" t="s">
        <v>24</v>
      </c>
      <c r="I35">
        <f>ROUND(ROUND(97/100,2),7)</f>
        <v>0.97</v>
      </c>
      <c r="J35">
        <v>0</v>
      </c>
      <c r="K35">
        <f>ROUND(ROUND(97/100,2),7)</f>
        <v>0.97</v>
      </c>
      <c r="O35">
        <f t="shared" si="21"/>
        <v>354.05</v>
      </c>
      <c r="P35">
        <f t="shared" si="22"/>
        <v>0</v>
      </c>
      <c r="Q35">
        <f t="shared" si="23"/>
        <v>155.2</v>
      </c>
      <c r="R35">
        <f t="shared" si="24"/>
        <v>164.44</v>
      </c>
      <c r="S35">
        <f t="shared" si="25"/>
        <v>198.85</v>
      </c>
      <c r="T35">
        <f t="shared" si="26"/>
        <v>0</v>
      </c>
      <c r="U35">
        <f t="shared" si="27"/>
        <v>0.68288</v>
      </c>
      <c r="V35">
        <f t="shared" si="28"/>
        <v>0.32592</v>
      </c>
      <c r="W35">
        <f t="shared" si="29"/>
        <v>0</v>
      </c>
      <c r="X35">
        <f t="shared" si="30"/>
        <v>406.88</v>
      </c>
      <c r="Y35">
        <f t="shared" si="30"/>
        <v>236.14</v>
      </c>
      <c r="AA35">
        <v>55655399</v>
      </c>
      <c r="AB35">
        <f t="shared" si="31"/>
        <v>17.58</v>
      </c>
      <c r="AC35">
        <f>ROUND(((ES35*ROUND((0*2),7))),2)</f>
        <v>0</v>
      </c>
      <c r="AD35">
        <f>ROUND(((((ET35*ROUND((0.8*2),7)))-((EU35*ROUND((0.8*2),7))))+AE35),2)</f>
        <v>12.09</v>
      </c>
      <c r="AE35">
        <f>ROUND(((EU35*ROUND((0.8*2),7))),2)</f>
        <v>4.54</v>
      </c>
      <c r="AF35">
        <f>ROUND(((EV35*ROUND((0.8*2),7))),2)</f>
        <v>5.49</v>
      </c>
      <c r="AG35">
        <f t="shared" si="32"/>
        <v>0</v>
      </c>
      <c r="AH35">
        <f>((EW35*ROUND((0.8*2),7)))</f>
        <v>0.7040000000000001</v>
      </c>
      <c r="AI35">
        <f>((EX35*ROUND((0.8*2),7)))</f>
        <v>0.336</v>
      </c>
      <c r="AJ35">
        <f t="shared" si="33"/>
        <v>0</v>
      </c>
      <c r="AK35">
        <v>10.99</v>
      </c>
      <c r="AL35">
        <v>0</v>
      </c>
      <c r="AM35">
        <v>7.56</v>
      </c>
      <c r="AN35">
        <v>2.84</v>
      </c>
      <c r="AO35">
        <v>3.43</v>
      </c>
      <c r="AP35">
        <v>0</v>
      </c>
      <c r="AQ35">
        <v>0.44</v>
      </c>
      <c r="AR35">
        <v>0.21</v>
      </c>
      <c r="AS35">
        <v>0</v>
      </c>
      <c r="AT35">
        <v>112</v>
      </c>
      <c r="AU35">
        <v>65</v>
      </c>
      <c r="AV35">
        <v>1</v>
      </c>
      <c r="AW35">
        <v>1</v>
      </c>
      <c r="AZ35">
        <v>1</v>
      </c>
      <c r="BA35">
        <v>37.34</v>
      </c>
      <c r="BB35">
        <v>13.24</v>
      </c>
      <c r="BC35">
        <v>6.72</v>
      </c>
      <c r="BH35">
        <v>0</v>
      </c>
      <c r="BI35">
        <v>1</v>
      </c>
      <c r="BJ35" t="s">
        <v>55</v>
      </c>
      <c r="BM35">
        <v>11001</v>
      </c>
      <c r="BN35">
        <v>0</v>
      </c>
      <c r="BO35" t="s">
        <v>34</v>
      </c>
      <c r="BP35">
        <v>1</v>
      </c>
      <c r="BQ35">
        <v>2</v>
      </c>
      <c r="BR35">
        <v>0</v>
      </c>
      <c r="BS35">
        <v>37.34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112</v>
      </c>
      <c r="CA35">
        <v>65</v>
      </c>
      <c r="CE35">
        <v>0</v>
      </c>
      <c r="CF35">
        <v>0</v>
      </c>
      <c r="CG35">
        <v>0</v>
      </c>
      <c r="CM35">
        <v>0</v>
      </c>
      <c r="CN35" t="s">
        <v>39</v>
      </c>
      <c r="CO35">
        <v>0</v>
      </c>
      <c r="CP35">
        <f t="shared" si="34"/>
        <v>354.04999999999995</v>
      </c>
      <c r="CQ35">
        <f t="shared" si="35"/>
        <v>0</v>
      </c>
      <c r="CR35">
        <f>((((ET35*ROUND((0.8*2),7)))*BB35-((EU35*ROUND((0.8*2),7)))*BS35)+AE35*BS35)</f>
        <v>160.00168000000002</v>
      </c>
      <c r="CS35">
        <f t="shared" si="36"/>
        <v>169.52360000000002</v>
      </c>
      <c r="CT35">
        <f t="shared" si="37"/>
        <v>204.99660000000003</v>
      </c>
      <c r="CU35">
        <f t="shared" si="38"/>
        <v>0</v>
      </c>
      <c r="CV35">
        <f t="shared" si="38"/>
        <v>0.7040000000000001</v>
      </c>
      <c r="CW35">
        <f t="shared" si="38"/>
        <v>0.336</v>
      </c>
      <c r="CX35">
        <f t="shared" si="38"/>
        <v>0</v>
      </c>
      <c r="CY35">
        <f t="shared" si="39"/>
        <v>406.8848</v>
      </c>
      <c r="CZ35">
        <f t="shared" si="40"/>
        <v>236.1385</v>
      </c>
      <c r="DD35" t="s">
        <v>56</v>
      </c>
      <c r="DE35" t="s">
        <v>57</v>
      </c>
      <c r="DF35" t="s">
        <v>57</v>
      </c>
      <c r="DG35" t="s">
        <v>57</v>
      </c>
      <c r="DI35" t="s">
        <v>57</v>
      </c>
      <c r="DJ35" t="s">
        <v>57</v>
      </c>
      <c r="DN35">
        <v>0</v>
      </c>
      <c r="DO35">
        <v>0</v>
      </c>
      <c r="DP35">
        <v>1</v>
      </c>
      <c r="DQ35">
        <v>1</v>
      </c>
      <c r="DU35">
        <v>1005</v>
      </c>
      <c r="DV35" t="s">
        <v>24</v>
      </c>
      <c r="DW35" t="s">
        <v>24</v>
      </c>
      <c r="DX35">
        <v>100</v>
      </c>
      <c r="EE35">
        <v>55471663</v>
      </c>
      <c r="EF35">
        <v>2</v>
      </c>
      <c r="EG35" t="s">
        <v>28</v>
      </c>
      <c r="EH35">
        <v>11</v>
      </c>
      <c r="EI35" t="s">
        <v>42</v>
      </c>
      <c r="EJ35">
        <v>1</v>
      </c>
      <c r="EK35">
        <v>11001</v>
      </c>
      <c r="EL35" t="s">
        <v>42</v>
      </c>
      <c r="EM35" t="s">
        <v>43</v>
      </c>
      <c r="EO35" t="s">
        <v>44</v>
      </c>
      <c r="EQ35">
        <v>0</v>
      </c>
      <c r="ER35">
        <v>10.99</v>
      </c>
      <c r="ES35">
        <v>0</v>
      </c>
      <c r="ET35">
        <v>7.56</v>
      </c>
      <c r="EU35">
        <v>2.84</v>
      </c>
      <c r="EV35">
        <v>3.43</v>
      </c>
      <c r="EW35">
        <v>0.44</v>
      </c>
      <c r="EX35">
        <v>0.21</v>
      </c>
      <c r="EY35">
        <v>0</v>
      </c>
      <c r="FQ35">
        <v>0</v>
      </c>
      <c r="FR35">
        <f t="shared" si="41"/>
        <v>0</v>
      </c>
      <c r="FS35">
        <v>0</v>
      </c>
      <c r="FX35">
        <v>112</v>
      </c>
      <c r="FY35">
        <v>65</v>
      </c>
      <c r="GD35">
        <v>1</v>
      </c>
      <c r="GF35">
        <v>64850844</v>
      </c>
      <c r="GG35">
        <v>2</v>
      </c>
      <c r="GH35">
        <v>1</v>
      </c>
      <c r="GI35">
        <v>4</v>
      </c>
      <c r="GJ35">
        <v>0</v>
      </c>
      <c r="GK35">
        <v>0</v>
      </c>
      <c r="GL35">
        <f t="shared" si="42"/>
        <v>0</v>
      </c>
      <c r="GM35">
        <f t="shared" si="43"/>
        <v>997.07</v>
      </c>
      <c r="GN35">
        <f t="shared" si="44"/>
        <v>997.07</v>
      </c>
      <c r="GO35">
        <f t="shared" si="45"/>
        <v>0</v>
      </c>
      <c r="GP35">
        <f t="shared" si="46"/>
        <v>0</v>
      </c>
      <c r="GR35">
        <v>0</v>
      </c>
      <c r="GS35">
        <v>3</v>
      </c>
      <c r="GT35">
        <v>0</v>
      </c>
      <c r="GV35">
        <f t="shared" si="47"/>
        <v>0</v>
      </c>
      <c r="GW35">
        <v>1</v>
      </c>
      <c r="GX35">
        <f t="shared" si="48"/>
        <v>0</v>
      </c>
      <c r="HA35">
        <v>0</v>
      </c>
      <c r="HB35">
        <v>0</v>
      </c>
      <c r="HC35">
        <f t="shared" si="49"/>
        <v>0</v>
      </c>
      <c r="HN35" t="s">
        <v>45</v>
      </c>
      <c r="HO35" t="s">
        <v>46</v>
      </c>
      <c r="HP35" t="s">
        <v>42</v>
      </c>
      <c r="HQ35" t="s">
        <v>42</v>
      </c>
      <c r="IK35">
        <v>0</v>
      </c>
    </row>
    <row r="37" spans="1:206" ht="12.75">
      <c r="A37" s="3">
        <v>51</v>
      </c>
      <c r="B37" s="3">
        <f>B24</f>
        <v>1</v>
      </c>
      <c r="C37" s="3">
        <f>A24</f>
        <v>4</v>
      </c>
      <c r="D37" s="3">
        <f>ROW(A24)</f>
        <v>24</v>
      </c>
      <c r="E37" s="3"/>
      <c r="F37" s="3" t="str">
        <f>IF(F24&lt;&gt;"",F24,"")</f>
        <v>Новый раздел</v>
      </c>
      <c r="G37" s="3" t="str">
        <f>IF(G24&lt;&gt;"",G24,"")</f>
        <v>Демонтажные работы</v>
      </c>
      <c r="H37" s="3">
        <v>0</v>
      </c>
      <c r="I37" s="3"/>
      <c r="J37" s="3"/>
      <c r="K37" s="3"/>
      <c r="L37" s="3"/>
      <c r="M37" s="3"/>
      <c r="N37" s="3"/>
      <c r="O37" s="3">
        <f aca="true" t="shared" si="50" ref="O37:T37">ROUND(AB37,2)</f>
        <v>629.65</v>
      </c>
      <c r="P37" s="3">
        <f t="shared" si="50"/>
        <v>0</v>
      </c>
      <c r="Q37" s="3">
        <f t="shared" si="50"/>
        <v>142.52</v>
      </c>
      <c r="R37" s="3">
        <f t="shared" si="50"/>
        <v>17.71</v>
      </c>
      <c r="S37" s="3">
        <f t="shared" si="50"/>
        <v>487.13</v>
      </c>
      <c r="T37" s="3">
        <f t="shared" si="50"/>
        <v>0</v>
      </c>
      <c r="U37" s="3">
        <f>AH37</f>
        <v>61.957679999999996</v>
      </c>
      <c r="V37" s="3">
        <f>AI37</f>
        <v>1.31144</v>
      </c>
      <c r="W37" s="3">
        <f>ROUND(AJ37,2)</f>
        <v>0</v>
      </c>
      <c r="X37" s="3">
        <f>ROUND(AK37,2)</f>
        <v>510.31</v>
      </c>
      <c r="Y37" s="3">
        <f>ROUND(AL37,2)</f>
        <v>294.02</v>
      </c>
      <c r="Z37" s="3"/>
      <c r="AA37" s="3"/>
      <c r="AB37" s="3">
        <f>ROUND(SUMIF(AA28:AA35,"=55655398",O28:O35),2)</f>
        <v>629.65</v>
      </c>
      <c r="AC37" s="3">
        <f>ROUND(SUMIF(AA28:AA35,"=55655398",P28:P35),2)</f>
        <v>0</v>
      </c>
      <c r="AD37" s="3">
        <f>ROUND(SUMIF(AA28:AA35,"=55655398",Q28:Q35),2)</f>
        <v>142.52</v>
      </c>
      <c r="AE37" s="3">
        <f>ROUND(SUMIF(AA28:AA35,"=55655398",R28:R35),2)</f>
        <v>17.71</v>
      </c>
      <c r="AF37" s="3">
        <f>ROUND(SUMIF(AA28:AA35,"=55655398",S28:S35),2)</f>
        <v>487.13</v>
      </c>
      <c r="AG37" s="3">
        <f>ROUND(SUMIF(AA28:AA35,"=55655398",T28:T35),2)</f>
        <v>0</v>
      </c>
      <c r="AH37" s="3">
        <f>SUMIF(AA28:AA35,"=55655398",U28:U35)</f>
        <v>61.957679999999996</v>
      </c>
      <c r="AI37" s="3">
        <f>SUMIF(AA28:AA35,"=55655398",V28:V35)</f>
        <v>1.31144</v>
      </c>
      <c r="AJ37" s="3">
        <f>ROUND(SUMIF(AA28:AA35,"=55655398",W28:W35),2)</f>
        <v>0</v>
      </c>
      <c r="AK37" s="3">
        <f>ROUND(SUMIF(AA28:AA35,"=55655398",X28:X35),2)</f>
        <v>510.31</v>
      </c>
      <c r="AL37" s="3">
        <f>ROUND(SUMIF(AA28:AA35,"=55655398",Y28:Y35),2)</f>
        <v>294.02</v>
      </c>
      <c r="AM37" s="3"/>
      <c r="AN37" s="3"/>
      <c r="AO37" s="3">
        <f aca="true" t="shared" si="51" ref="AO37:BD37">ROUND(BX37,2)</f>
        <v>0</v>
      </c>
      <c r="AP37" s="3">
        <f t="shared" si="51"/>
        <v>0</v>
      </c>
      <c r="AQ37" s="3">
        <f t="shared" si="51"/>
        <v>0</v>
      </c>
      <c r="AR37" s="3">
        <f t="shared" si="51"/>
        <v>1433.98</v>
      </c>
      <c r="AS37" s="3">
        <f t="shared" si="51"/>
        <v>1433.98</v>
      </c>
      <c r="AT37" s="3">
        <f t="shared" si="51"/>
        <v>0</v>
      </c>
      <c r="AU37" s="3">
        <f t="shared" si="51"/>
        <v>0</v>
      </c>
      <c r="AV37" s="3">
        <f t="shared" si="51"/>
        <v>0</v>
      </c>
      <c r="AW37" s="3">
        <f t="shared" si="51"/>
        <v>0</v>
      </c>
      <c r="AX37" s="3">
        <f t="shared" si="51"/>
        <v>0</v>
      </c>
      <c r="AY37" s="3">
        <f t="shared" si="51"/>
        <v>0</v>
      </c>
      <c r="AZ37" s="3">
        <f t="shared" si="51"/>
        <v>0</v>
      </c>
      <c r="BA37" s="3">
        <f t="shared" si="51"/>
        <v>0</v>
      </c>
      <c r="BB37" s="3">
        <f t="shared" si="51"/>
        <v>0</v>
      </c>
      <c r="BC37" s="3">
        <f t="shared" si="51"/>
        <v>0</v>
      </c>
      <c r="BD37" s="3">
        <f t="shared" si="51"/>
        <v>0</v>
      </c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>
        <f>ROUND(SUMIF(AA28:AA35,"=55655398",FQ28:FQ35),2)</f>
        <v>0</v>
      </c>
      <c r="BY37" s="3">
        <f>ROUND(SUMIF(AA28:AA35,"=55655398",FR28:FR35),2)</f>
        <v>0</v>
      </c>
      <c r="BZ37" s="3">
        <f>ROUND(SUMIF(AA28:AA35,"=55655398",GL28:GL35),2)</f>
        <v>0</v>
      </c>
      <c r="CA37" s="3">
        <f>ROUND(SUMIF(AA28:AA35,"=55655398",GM28:GM35),2)</f>
        <v>1433.98</v>
      </c>
      <c r="CB37" s="3">
        <f>ROUND(SUMIF(AA28:AA35,"=55655398",GN28:GN35),2)</f>
        <v>1433.98</v>
      </c>
      <c r="CC37" s="3">
        <f>ROUND(SUMIF(AA28:AA35,"=55655398",GO28:GO35),2)</f>
        <v>0</v>
      </c>
      <c r="CD37" s="3">
        <f>ROUND(SUMIF(AA28:AA35,"=55655398",GP28:GP35),2)</f>
        <v>0</v>
      </c>
      <c r="CE37" s="3">
        <f>AC37-BX37</f>
        <v>0</v>
      </c>
      <c r="CF37" s="3">
        <f>AC37-BY37</f>
        <v>0</v>
      </c>
      <c r="CG37" s="3">
        <f>BX37-BZ37</f>
        <v>0</v>
      </c>
      <c r="CH37" s="3">
        <f>AC37-BX37-BY37+BZ37</f>
        <v>0</v>
      </c>
      <c r="CI37" s="3">
        <f>BY37-BZ37</f>
        <v>0</v>
      </c>
      <c r="CJ37" s="3">
        <f>ROUND(SUMIF(AA28:AA35,"=55655398",GX28:GX35),2)</f>
        <v>0</v>
      </c>
      <c r="CK37" s="3">
        <f>ROUND(SUMIF(AA28:AA35,"=55655398",GY28:GY35),2)</f>
        <v>0</v>
      </c>
      <c r="CL37" s="3">
        <f>ROUND(SUMIF(AA28:AA35,"=55655398",GZ28:GZ35),2)</f>
        <v>0</v>
      </c>
      <c r="CM37" s="3">
        <f>ROUND(SUMIF(AA28:AA35,"=55655398",HD28:HD35),2)</f>
        <v>0</v>
      </c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4">
        <f aca="true" t="shared" si="52" ref="DG37:DL37">ROUND(DT37,2)</f>
        <v>20076.11</v>
      </c>
      <c r="DH37" s="4">
        <f t="shared" si="52"/>
        <v>0</v>
      </c>
      <c r="DI37" s="4">
        <f t="shared" si="52"/>
        <v>1886.83</v>
      </c>
      <c r="DJ37" s="4">
        <f t="shared" si="52"/>
        <v>661.38</v>
      </c>
      <c r="DK37" s="4">
        <f t="shared" si="52"/>
        <v>18189.28</v>
      </c>
      <c r="DL37" s="4">
        <f t="shared" si="52"/>
        <v>0</v>
      </c>
      <c r="DM37" s="4">
        <f>DZ37</f>
        <v>61.957679999999996</v>
      </c>
      <c r="DN37" s="4">
        <f>EA37</f>
        <v>1.31144</v>
      </c>
      <c r="DO37" s="4">
        <f>ROUND(EB37,2)</f>
        <v>0</v>
      </c>
      <c r="DP37" s="4">
        <f>ROUND(EC37,2)</f>
        <v>19054.73</v>
      </c>
      <c r="DQ37" s="4">
        <f>ROUND(ED37,2)</f>
        <v>10978.93</v>
      </c>
      <c r="DR37" s="4"/>
      <c r="DS37" s="4"/>
      <c r="DT37" s="4">
        <f>ROUND(SUMIF(AA28:AA35,"=55655399",O28:O35),2)</f>
        <v>20076.11</v>
      </c>
      <c r="DU37" s="4">
        <f>ROUND(SUMIF(AA28:AA35,"=55655399",P28:P35),2)</f>
        <v>0</v>
      </c>
      <c r="DV37" s="4">
        <f>ROUND(SUMIF(AA28:AA35,"=55655399",Q28:Q35),2)</f>
        <v>1886.83</v>
      </c>
      <c r="DW37" s="4">
        <f>ROUND(SUMIF(AA28:AA35,"=55655399",R28:R35),2)</f>
        <v>661.38</v>
      </c>
      <c r="DX37" s="4">
        <f>ROUND(SUMIF(AA28:AA35,"=55655399",S28:S35),2)</f>
        <v>18189.28</v>
      </c>
      <c r="DY37" s="4">
        <f>ROUND(SUMIF(AA28:AA35,"=55655399",T28:T35),2)</f>
        <v>0</v>
      </c>
      <c r="DZ37" s="4">
        <f>SUMIF(AA28:AA35,"=55655399",U28:U35)</f>
        <v>61.957679999999996</v>
      </c>
      <c r="EA37" s="4">
        <f>SUMIF(AA28:AA35,"=55655399",V28:V35)</f>
        <v>1.31144</v>
      </c>
      <c r="EB37" s="4">
        <f>ROUND(SUMIF(AA28:AA35,"=55655399",W28:W35),2)</f>
        <v>0</v>
      </c>
      <c r="EC37" s="4">
        <f>ROUND(SUMIF(AA28:AA35,"=55655399",X28:X35),2)</f>
        <v>19054.73</v>
      </c>
      <c r="ED37" s="4">
        <f>ROUND(SUMIF(AA28:AA35,"=55655399",Y28:Y35),2)</f>
        <v>10978.93</v>
      </c>
      <c r="EE37" s="4"/>
      <c r="EF37" s="4"/>
      <c r="EG37" s="4">
        <f aca="true" t="shared" si="53" ref="EG37:EV37">ROUND(FP37,2)</f>
        <v>0</v>
      </c>
      <c r="EH37" s="4">
        <f t="shared" si="53"/>
        <v>0</v>
      </c>
      <c r="EI37" s="4">
        <f t="shared" si="53"/>
        <v>0</v>
      </c>
      <c r="EJ37" s="4">
        <f t="shared" si="53"/>
        <v>50109.77</v>
      </c>
      <c r="EK37" s="4">
        <f t="shared" si="53"/>
        <v>50109.77</v>
      </c>
      <c r="EL37" s="4">
        <f t="shared" si="53"/>
        <v>0</v>
      </c>
      <c r="EM37" s="4">
        <f t="shared" si="53"/>
        <v>0</v>
      </c>
      <c r="EN37" s="4">
        <f t="shared" si="53"/>
        <v>0</v>
      </c>
      <c r="EO37" s="4">
        <f t="shared" si="53"/>
        <v>0</v>
      </c>
      <c r="EP37" s="4">
        <f t="shared" si="53"/>
        <v>0</v>
      </c>
      <c r="EQ37" s="4">
        <f t="shared" si="53"/>
        <v>0</v>
      </c>
      <c r="ER37" s="4">
        <f t="shared" si="53"/>
        <v>0</v>
      </c>
      <c r="ES37" s="4">
        <f t="shared" si="53"/>
        <v>0</v>
      </c>
      <c r="ET37" s="4">
        <f t="shared" si="53"/>
        <v>0</v>
      </c>
      <c r="EU37" s="4">
        <f t="shared" si="53"/>
        <v>0</v>
      </c>
      <c r="EV37" s="4">
        <f t="shared" si="53"/>
        <v>0</v>
      </c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>
        <f>ROUND(SUMIF(AA28:AA35,"=55655399",FQ28:FQ35),2)</f>
        <v>0</v>
      </c>
      <c r="FQ37" s="4">
        <f>ROUND(SUMIF(AA28:AA35,"=55655399",FR28:FR35),2)</f>
        <v>0</v>
      </c>
      <c r="FR37" s="4">
        <f>ROUND(SUMIF(AA28:AA35,"=55655399",GL28:GL35),2)</f>
        <v>0</v>
      </c>
      <c r="FS37" s="4">
        <f>ROUND(SUMIF(AA28:AA35,"=55655399",GM28:GM35),2)</f>
        <v>50109.77</v>
      </c>
      <c r="FT37" s="4">
        <f>ROUND(SUMIF(AA28:AA35,"=55655399",GN28:GN35),2)</f>
        <v>50109.77</v>
      </c>
      <c r="FU37" s="4">
        <f>ROUND(SUMIF(AA28:AA35,"=55655399",GO28:GO35),2)</f>
        <v>0</v>
      </c>
      <c r="FV37" s="4">
        <f>ROUND(SUMIF(AA28:AA35,"=55655399",GP28:GP35),2)</f>
        <v>0</v>
      </c>
      <c r="FW37" s="4">
        <f>DU37-FP37</f>
        <v>0</v>
      </c>
      <c r="FX37" s="4">
        <f>DU37-FQ37</f>
        <v>0</v>
      </c>
      <c r="FY37" s="4">
        <f>FP37-FR37</f>
        <v>0</v>
      </c>
      <c r="FZ37" s="4">
        <f>DU37-FP37-FQ37+FR37</f>
        <v>0</v>
      </c>
      <c r="GA37" s="4">
        <f>FQ37-FR37</f>
        <v>0</v>
      </c>
      <c r="GB37" s="4">
        <f>ROUND(SUMIF(AA28:AA35,"=55655399",GX28:GX35),2)</f>
        <v>0</v>
      </c>
      <c r="GC37" s="4">
        <f>ROUND(SUMIF(AA28:AA35,"=55655399",GY28:GY35),2)</f>
        <v>0</v>
      </c>
      <c r="GD37" s="4">
        <f>ROUND(SUMIF(AA28:AA35,"=55655399",GZ28:GZ35),2)</f>
        <v>0</v>
      </c>
      <c r="GE37" s="4">
        <f>ROUND(SUMIF(AA28:AA35,"=55655399",HD28:HD35),2)</f>
        <v>0</v>
      </c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>
        <v>0</v>
      </c>
    </row>
    <row r="39" spans="1:28" ht="12.75">
      <c r="A39" s="5">
        <v>50</v>
      </c>
      <c r="B39" s="5">
        <v>0</v>
      </c>
      <c r="C39" s="5">
        <v>0</v>
      </c>
      <c r="D39" s="5">
        <v>1</v>
      </c>
      <c r="E39" s="5">
        <v>201</v>
      </c>
      <c r="F39" s="5">
        <f>ROUND(Source!O37,O39)</f>
        <v>629.65</v>
      </c>
      <c r="G39" s="5" t="s">
        <v>58</v>
      </c>
      <c r="H39" s="5" t="s">
        <v>59</v>
      </c>
      <c r="I39" s="5"/>
      <c r="J39" s="5"/>
      <c r="K39" s="5">
        <v>201</v>
      </c>
      <c r="L39" s="5">
        <v>1</v>
      </c>
      <c r="M39" s="5">
        <v>3</v>
      </c>
      <c r="N39" s="5" t="s">
        <v>3</v>
      </c>
      <c r="O39" s="5">
        <v>2</v>
      </c>
      <c r="P39" s="5">
        <f>ROUND(Source!DG37,O39)</f>
        <v>20076.11</v>
      </c>
      <c r="Q39" s="5"/>
      <c r="R39" s="5"/>
      <c r="S39" s="5"/>
      <c r="T39" s="5"/>
      <c r="U39" s="5"/>
      <c r="V39" s="5"/>
      <c r="W39" s="5">
        <v>629.65</v>
      </c>
      <c r="X39" s="5">
        <v>1</v>
      </c>
      <c r="Y39" s="5">
        <v>629.65</v>
      </c>
      <c r="Z39" s="5">
        <v>20076.11</v>
      </c>
      <c r="AA39" s="5">
        <v>1</v>
      </c>
      <c r="AB39" s="5">
        <v>20076.11</v>
      </c>
    </row>
    <row r="40" spans="1:28" ht="12.75">
      <c r="A40" s="5">
        <v>50</v>
      </c>
      <c r="B40" s="5">
        <v>0</v>
      </c>
      <c r="C40" s="5">
        <v>0</v>
      </c>
      <c r="D40" s="5">
        <v>1</v>
      </c>
      <c r="E40" s="5">
        <v>202</v>
      </c>
      <c r="F40" s="5">
        <f>ROUND(Source!P37,O40)</f>
        <v>0</v>
      </c>
      <c r="G40" s="5" t="s">
        <v>60</v>
      </c>
      <c r="H40" s="5" t="s">
        <v>61</v>
      </c>
      <c r="I40" s="5"/>
      <c r="J40" s="5"/>
      <c r="K40" s="5">
        <v>202</v>
      </c>
      <c r="L40" s="5">
        <v>2</v>
      </c>
      <c r="M40" s="5">
        <v>3</v>
      </c>
      <c r="N40" s="5" t="s">
        <v>3</v>
      </c>
      <c r="O40" s="5">
        <v>2</v>
      </c>
      <c r="P40" s="5">
        <f>ROUND(Source!DH37,O40)</f>
        <v>0</v>
      </c>
      <c r="Q40" s="5"/>
      <c r="R40" s="5"/>
      <c r="S40" s="5"/>
      <c r="T40" s="5"/>
      <c r="U40" s="5"/>
      <c r="V40" s="5"/>
      <c r="W40" s="5">
        <v>0</v>
      </c>
      <c r="X40" s="5">
        <v>1</v>
      </c>
      <c r="Y40" s="5">
        <v>0</v>
      </c>
      <c r="Z40" s="5">
        <v>0</v>
      </c>
      <c r="AA40" s="5">
        <v>1</v>
      </c>
      <c r="AB40" s="5">
        <v>0</v>
      </c>
    </row>
    <row r="41" spans="1:28" ht="12.75">
      <c r="A41" s="5">
        <v>50</v>
      </c>
      <c r="B41" s="5">
        <v>0</v>
      </c>
      <c r="C41" s="5">
        <v>0</v>
      </c>
      <c r="D41" s="5">
        <v>1</v>
      </c>
      <c r="E41" s="5">
        <v>222</v>
      </c>
      <c r="F41" s="5">
        <f>ROUND(Source!AO37,O41)</f>
        <v>0</v>
      </c>
      <c r="G41" s="5" t="s">
        <v>62</v>
      </c>
      <c r="H41" s="5" t="s">
        <v>63</v>
      </c>
      <c r="I41" s="5"/>
      <c r="J41" s="5"/>
      <c r="K41" s="5">
        <v>222</v>
      </c>
      <c r="L41" s="5">
        <v>3</v>
      </c>
      <c r="M41" s="5">
        <v>3</v>
      </c>
      <c r="N41" s="5" t="s">
        <v>3</v>
      </c>
      <c r="O41" s="5">
        <v>2</v>
      </c>
      <c r="P41" s="5">
        <f>ROUND(Source!EG37,O41)</f>
        <v>0</v>
      </c>
      <c r="Q41" s="5"/>
      <c r="R41" s="5"/>
      <c r="S41" s="5"/>
      <c r="T41" s="5"/>
      <c r="U41" s="5"/>
      <c r="V41" s="5"/>
      <c r="W41" s="5">
        <v>0</v>
      </c>
      <c r="X41" s="5">
        <v>1</v>
      </c>
      <c r="Y41" s="5">
        <v>0</v>
      </c>
      <c r="Z41" s="5">
        <v>0</v>
      </c>
      <c r="AA41" s="5">
        <v>1</v>
      </c>
      <c r="AB41" s="5">
        <v>0</v>
      </c>
    </row>
    <row r="42" spans="1:28" ht="12.75">
      <c r="A42" s="5">
        <v>50</v>
      </c>
      <c r="B42" s="5">
        <v>0</v>
      </c>
      <c r="C42" s="5">
        <v>0</v>
      </c>
      <c r="D42" s="5">
        <v>1</v>
      </c>
      <c r="E42" s="5">
        <v>225</v>
      </c>
      <c r="F42" s="5">
        <f>ROUND(Source!AV37,O42)</f>
        <v>0</v>
      </c>
      <c r="G42" s="5" t="s">
        <v>64</v>
      </c>
      <c r="H42" s="5" t="s">
        <v>65</v>
      </c>
      <c r="I42" s="5"/>
      <c r="J42" s="5"/>
      <c r="K42" s="5">
        <v>225</v>
      </c>
      <c r="L42" s="5">
        <v>4</v>
      </c>
      <c r="M42" s="5">
        <v>3</v>
      </c>
      <c r="N42" s="5" t="s">
        <v>3</v>
      </c>
      <c r="O42" s="5">
        <v>2</v>
      </c>
      <c r="P42" s="5">
        <f>ROUND(Source!EN37,O42)</f>
        <v>0</v>
      </c>
      <c r="Q42" s="5"/>
      <c r="R42" s="5"/>
      <c r="S42" s="5"/>
      <c r="T42" s="5"/>
      <c r="U42" s="5"/>
      <c r="V42" s="5"/>
      <c r="W42" s="5">
        <v>0</v>
      </c>
      <c r="X42" s="5">
        <v>1</v>
      </c>
      <c r="Y42" s="5">
        <v>0</v>
      </c>
      <c r="Z42" s="5">
        <v>0</v>
      </c>
      <c r="AA42" s="5">
        <v>1</v>
      </c>
      <c r="AB42" s="5">
        <v>0</v>
      </c>
    </row>
    <row r="43" spans="1:28" ht="12.75">
      <c r="A43" s="5">
        <v>50</v>
      </c>
      <c r="B43" s="5">
        <v>0</v>
      </c>
      <c r="C43" s="5">
        <v>0</v>
      </c>
      <c r="D43" s="5">
        <v>1</v>
      </c>
      <c r="E43" s="5">
        <v>226</v>
      </c>
      <c r="F43" s="5">
        <f>ROUND(Source!AW37,O43)</f>
        <v>0</v>
      </c>
      <c r="G43" s="5" t="s">
        <v>66</v>
      </c>
      <c r="H43" s="5" t="s">
        <v>67</v>
      </c>
      <c r="I43" s="5"/>
      <c r="J43" s="5"/>
      <c r="K43" s="5">
        <v>226</v>
      </c>
      <c r="L43" s="5">
        <v>5</v>
      </c>
      <c r="M43" s="5">
        <v>3</v>
      </c>
      <c r="N43" s="5" t="s">
        <v>3</v>
      </c>
      <c r="O43" s="5">
        <v>2</v>
      </c>
      <c r="P43" s="5">
        <f>ROUND(Source!EO37,O43)</f>
        <v>0</v>
      </c>
      <c r="Q43" s="5"/>
      <c r="R43" s="5"/>
      <c r="S43" s="5"/>
      <c r="T43" s="5"/>
      <c r="U43" s="5"/>
      <c r="V43" s="5"/>
      <c r="W43" s="5">
        <v>0</v>
      </c>
      <c r="X43" s="5">
        <v>1</v>
      </c>
      <c r="Y43" s="5">
        <v>0</v>
      </c>
      <c r="Z43" s="5">
        <v>0</v>
      </c>
      <c r="AA43" s="5">
        <v>1</v>
      </c>
      <c r="AB43" s="5">
        <v>0</v>
      </c>
    </row>
    <row r="44" spans="1:28" ht="12.75">
      <c r="A44" s="5">
        <v>50</v>
      </c>
      <c r="B44" s="5">
        <v>0</v>
      </c>
      <c r="C44" s="5">
        <v>0</v>
      </c>
      <c r="D44" s="5">
        <v>1</v>
      </c>
      <c r="E44" s="5">
        <v>227</v>
      </c>
      <c r="F44" s="5">
        <f>ROUND(Source!AX37,O44)</f>
        <v>0</v>
      </c>
      <c r="G44" s="5" t="s">
        <v>68</v>
      </c>
      <c r="H44" s="5" t="s">
        <v>69</v>
      </c>
      <c r="I44" s="5"/>
      <c r="J44" s="5"/>
      <c r="K44" s="5">
        <v>227</v>
      </c>
      <c r="L44" s="5">
        <v>6</v>
      </c>
      <c r="M44" s="5">
        <v>3</v>
      </c>
      <c r="N44" s="5" t="s">
        <v>3</v>
      </c>
      <c r="O44" s="5">
        <v>2</v>
      </c>
      <c r="P44" s="5">
        <f>ROUND(Source!EP37,O44)</f>
        <v>0</v>
      </c>
      <c r="Q44" s="5"/>
      <c r="R44" s="5"/>
      <c r="S44" s="5"/>
      <c r="T44" s="5"/>
      <c r="U44" s="5"/>
      <c r="V44" s="5"/>
      <c r="W44" s="5">
        <v>0</v>
      </c>
      <c r="X44" s="5">
        <v>1</v>
      </c>
      <c r="Y44" s="5">
        <v>0</v>
      </c>
      <c r="Z44" s="5">
        <v>0</v>
      </c>
      <c r="AA44" s="5">
        <v>1</v>
      </c>
      <c r="AB44" s="5">
        <v>0</v>
      </c>
    </row>
    <row r="45" spans="1:28" ht="12.75">
      <c r="A45" s="5">
        <v>50</v>
      </c>
      <c r="B45" s="5">
        <v>0</v>
      </c>
      <c r="C45" s="5">
        <v>0</v>
      </c>
      <c r="D45" s="5">
        <v>1</v>
      </c>
      <c r="E45" s="5">
        <v>228</v>
      </c>
      <c r="F45" s="5">
        <f>ROUND(Source!AY37,O45)</f>
        <v>0</v>
      </c>
      <c r="G45" s="5" t="s">
        <v>70</v>
      </c>
      <c r="H45" s="5" t="s">
        <v>71</v>
      </c>
      <c r="I45" s="5"/>
      <c r="J45" s="5"/>
      <c r="K45" s="5">
        <v>228</v>
      </c>
      <c r="L45" s="5">
        <v>7</v>
      </c>
      <c r="M45" s="5">
        <v>3</v>
      </c>
      <c r="N45" s="5" t="s">
        <v>3</v>
      </c>
      <c r="O45" s="5">
        <v>2</v>
      </c>
      <c r="P45" s="5">
        <f>ROUND(Source!EQ37,O45)</f>
        <v>0</v>
      </c>
      <c r="Q45" s="5"/>
      <c r="R45" s="5"/>
      <c r="S45" s="5"/>
      <c r="T45" s="5"/>
      <c r="U45" s="5"/>
      <c r="V45" s="5"/>
      <c r="W45" s="5">
        <v>0</v>
      </c>
      <c r="X45" s="5">
        <v>1</v>
      </c>
      <c r="Y45" s="5">
        <v>0</v>
      </c>
      <c r="Z45" s="5">
        <v>0</v>
      </c>
      <c r="AA45" s="5">
        <v>1</v>
      </c>
      <c r="AB45" s="5">
        <v>0</v>
      </c>
    </row>
    <row r="46" spans="1:28" ht="12.75">
      <c r="A46" s="5">
        <v>50</v>
      </c>
      <c r="B46" s="5">
        <v>0</v>
      </c>
      <c r="C46" s="5">
        <v>0</v>
      </c>
      <c r="D46" s="5">
        <v>1</v>
      </c>
      <c r="E46" s="5">
        <v>216</v>
      </c>
      <c r="F46" s="5">
        <f>ROUND(Source!AP37,O46)</f>
        <v>0</v>
      </c>
      <c r="G46" s="5" t="s">
        <v>72</v>
      </c>
      <c r="H46" s="5" t="s">
        <v>73</v>
      </c>
      <c r="I46" s="5"/>
      <c r="J46" s="5"/>
      <c r="K46" s="5">
        <v>216</v>
      </c>
      <c r="L46" s="5">
        <v>8</v>
      </c>
      <c r="M46" s="5">
        <v>3</v>
      </c>
      <c r="N46" s="5" t="s">
        <v>3</v>
      </c>
      <c r="O46" s="5">
        <v>2</v>
      </c>
      <c r="P46" s="5">
        <f>ROUND(Source!EH37,O46)</f>
        <v>0</v>
      </c>
      <c r="Q46" s="5"/>
      <c r="R46" s="5"/>
      <c r="S46" s="5"/>
      <c r="T46" s="5"/>
      <c r="U46" s="5"/>
      <c r="V46" s="5"/>
      <c r="W46" s="5">
        <v>0</v>
      </c>
      <c r="X46" s="5">
        <v>1</v>
      </c>
      <c r="Y46" s="5">
        <v>0</v>
      </c>
      <c r="Z46" s="5">
        <v>0</v>
      </c>
      <c r="AA46" s="5">
        <v>1</v>
      </c>
      <c r="AB46" s="5">
        <v>0</v>
      </c>
    </row>
    <row r="47" spans="1:28" ht="12.75">
      <c r="A47" s="5">
        <v>50</v>
      </c>
      <c r="B47" s="5">
        <v>0</v>
      </c>
      <c r="C47" s="5">
        <v>0</v>
      </c>
      <c r="D47" s="5">
        <v>1</v>
      </c>
      <c r="E47" s="5">
        <v>223</v>
      </c>
      <c r="F47" s="5">
        <f>ROUND(Source!AQ37,O47)</f>
        <v>0</v>
      </c>
      <c r="G47" s="5" t="s">
        <v>74</v>
      </c>
      <c r="H47" s="5" t="s">
        <v>75</v>
      </c>
      <c r="I47" s="5"/>
      <c r="J47" s="5"/>
      <c r="K47" s="5">
        <v>223</v>
      </c>
      <c r="L47" s="5">
        <v>9</v>
      </c>
      <c r="M47" s="5">
        <v>3</v>
      </c>
      <c r="N47" s="5" t="s">
        <v>3</v>
      </c>
      <c r="O47" s="5">
        <v>2</v>
      </c>
      <c r="P47" s="5">
        <f>ROUND(Source!EI37,O47)</f>
        <v>0</v>
      </c>
      <c r="Q47" s="5"/>
      <c r="R47" s="5"/>
      <c r="S47" s="5"/>
      <c r="T47" s="5"/>
      <c r="U47" s="5"/>
      <c r="V47" s="5"/>
      <c r="W47" s="5">
        <v>0</v>
      </c>
      <c r="X47" s="5">
        <v>1</v>
      </c>
      <c r="Y47" s="5">
        <v>0</v>
      </c>
      <c r="Z47" s="5">
        <v>0</v>
      </c>
      <c r="AA47" s="5">
        <v>1</v>
      </c>
      <c r="AB47" s="5">
        <v>0</v>
      </c>
    </row>
    <row r="48" spans="1:28" ht="12.75">
      <c r="A48" s="5">
        <v>50</v>
      </c>
      <c r="B48" s="5">
        <v>0</v>
      </c>
      <c r="C48" s="5">
        <v>0</v>
      </c>
      <c r="D48" s="5">
        <v>1</v>
      </c>
      <c r="E48" s="5">
        <v>229</v>
      </c>
      <c r="F48" s="5">
        <f>ROUND(Source!AZ37,O48)</f>
        <v>0</v>
      </c>
      <c r="G48" s="5" t="s">
        <v>76</v>
      </c>
      <c r="H48" s="5" t="s">
        <v>77</v>
      </c>
      <c r="I48" s="5"/>
      <c r="J48" s="5"/>
      <c r="K48" s="5">
        <v>229</v>
      </c>
      <c r="L48" s="5">
        <v>10</v>
      </c>
      <c r="M48" s="5">
        <v>3</v>
      </c>
      <c r="N48" s="5" t="s">
        <v>3</v>
      </c>
      <c r="O48" s="5">
        <v>2</v>
      </c>
      <c r="P48" s="5">
        <f>ROUND(Source!ER37,O48)</f>
        <v>0</v>
      </c>
      <c r="Q48" s="5"/>
      <c r="R48" s="5"/>
      <c r="S48" s="5"/>
      <c r="T48" s="5"/>
      <c r="U48" s="5"/>
      <c r="V48" s="5"/>
      <c r="W48" s="5">
        <v>0</v>
      </c>
      <c r="X48" s="5">
        <v>1</v>
      </c>
      <c r="Y48" s="5">
        <v>0</v>
      </c>
      <c r="Z48" s="5">
        <v>0</v>
      </c>
      <c r="AA48" s="5">
        <v>1</v>
      </c>
      <c r="AB48" s="5">
        <v>0</v>
      </c>
    </row>
    <row r="49" spans="1:28" ht="12.75">
      <c r="A49" s="5">
        <v>50</v>
      </c>
      <c r="B49" s="5">
        <v>0</v>
      </c>
      <c r="C49" s="5">
        <v>0</v>
      </c>
      <c r="D49" s="5">
        <v>1</v>
      </c>
      <c r="E49" s="5">
        <v>203</v>
      </c>
      <c r="F49" s="5">
        <f>ROUND(Source!Q37,O49)</f>
        <v>142.52</v>
      </c>
      <c r="G49" s="5" t="s">
        <v>78</v>
      </c>
      <c r="H49" s="5" t="s">
        <v>79</v>
      </c>
      <c r="I49" s="5"/>
      <c r="J49" s="5"/>
      <c r="K49" s="5">
        <v>203</v>
      </c>
      <c r="L49" s="5">
        <v>11</v>
      </c>
      <c r="M49" s="5">
        <v>3</v>
      </c>
      <c r="N49" s="5" t="s">
        <v>3</v>
      </c>
      <c r="O49" s="5">
        <v>2</v>
      </c>
      <c r="P49" s="5">
        <f>ROUND(Source!DI37,O49)</f>
        <v>1886.83</v>
      </c>
      <c r="Q49" s="5"/>
      <c r="R49" s="5"/>
      <c r="S49" s="5"/>
      <c r="T49" s="5"/>
      <c r="U49" s="5"/>
      <c r="V49" s="5"/>
      <c r="W49" s="5">
        <v>142.52</v>
      </c>
      <c r="X49" s="5">
        <v>1</v>
      </c>
      <c r="Y49" s="5">
        <v>142.52</v>
      </c>
      <c r="Z49" s="5">
        <v>1886.83</v>
      </c>
      <c r="AA49" s="5">
        <v>1</v>
      </c>
      <c r="AB49" s="5">
        <v>1886.83</v>
      </c>
    </row>
    <row r="50" spans="1:28" ht="12.75">
      <c r="A50" s="5">
        <v>50</v>
      </c>
      <c r="B50" s="5">
        <v>0</v>
      </c>
      <c r="C50" s="5">
        <v>0</v>
      </c>
      <c r="D50" s="5">
        <v>1</v>
      </c>
      <c r="E50" s="5">
        <v>231</v>
      </c>
      <c r="F50" s="5">
        <f>ROUND(Source!BB37,O50)</f>
        <v>0</v>
      </c>
      <c r="G50" s="5" t="s">
        <v>80</v>
      </c>
      <c r="H50" s="5" t="s">
        <v>81</v>
      </c>
      <c r="I50" s="5"/>
      <c r="J50" s="5"/>
      <c r="K50" s="5">
        <v>231</v>
      </c>
      <c r="L50" s="5">
        <v>12</v>
      </c>
      <c r="M50" s="5">
        <v>3</v>
      </c>
      <c r="N50" s="5" t="s">
        <v>3</v>
      </c>
      <c r="O50" s="5">
        <v>2</v>
      </c>
      <c r="P50" s="5">
        <f>ROUND(Source!ET37,O50)</f>
        <v>0</v>
      </c>
      <c r="Q50" s="5"/>
      <c r="R50" s="5"/>
      <c r="S50" s="5"/>
      <c r="T50" s="5"/>
      <c r="U50" s="5"/>
      <c r="V50" s="5"/>
      <c r="W50" s="5">
        <v>0</v>
      </c>
      <c r="X50" s="5">
        <v>1</v>
      </c>
      <c r="Y50" s="5">
        <v>0</v>
      </c>
      <c r="Z50" s="5">
        <v>0</v>
      </c>
      <c r="AA50" s="5">
        <v>1</v>
      </c>
      <c r="AB50" s="5">
        <v>0</v>
      </c>
    </row>
    <row r="51" spans="1:28" ht="12.75">
      <c r="A51" s="5">
        <v>50</v>
      </c>
      <c r="B51" s="5">
        <v>0</v>
      </c>
      <c r="C51" s="5">
        <v>0</v>
      </c>
      <c r="D51" s="5">
        <v>1</v>
      </c>
      <c r="E51" s="5">
        <v>204</v>
      </c>
      <c r="F51" s="5">
        <f>ROUND(Source!R37,O51)</f>
        <v>17.71</v>
      </c>
      <c r="G51" s="5" t="s">
        <v>82</v>
      </c>
      <c r="H51" s="5" t="s">
        <v>83</v>
      </c>
      <c r="I51" s="5"/>
      <c r="J51" s="5"/>
      <c r="K51" s="5">
        <v>204</v>
      </c>
      <c r="L51" s="5">
        <v>13</v>
      </c>
      <c r="M51" s="5">
        <v>3</v>
      </c>
      <c r="N51" s="5" t="s">
        <v>3</v>
      </c>
      <c r="O51" s="5">
        <v>2</v>
      </c>
      <c r="P51" s="5">
        <f>ROUND(Source!DJ37,O51)</f>
        <v>661.38</v>
      </c>
      <c r="Q51" s="5"/>
      <c r="R51" s="5"/>
      <c r="S51" s="5"/>
      <c r="T51" s="5"/>
      <c r="U51" s="5"/>
      <c r="V51" s="5"/>
      <c r="W51" s="5">
        <v>17.71</v>
      </c>
      <c r="X51" s="5">
        <v>1</v>
      </c>
      <c r="Y51" s="5">
        <v>17.71</v>
      </c>
      <c r="Z51" s="5">
        <v>661.38</v>
      </c>
      <c r="AA51" s="5">
        <v>1</v>
      </c>
      <c r="AB51" s="5">
        <v>661.38</v>
      </c>
    </row>
    <row r="52" spans="1:28" ht="12.75">
      <c r="A52" s="5">
        <v>50</v>
      </c>
      <c r="B52" s="5">
        <v>0</v>
      </c>
      <c r="C52" s="5">
        <v>0</v>
      </c>
      <c r="D52" s="5">
        <v>1</v>
      </c>
      <c r="E52" s="5">
        <v>205</v>
      </c>
      <c r="F52" s="5">
        <f>ROUND(Source!S37,O52)</f>
        <v>487.13</v>
      </c>
      <c r="G52" s="5" t="s">
        <v>84</v>
      </c>
      <c r="H52" s="5" t="s">
        <v>85</v>
      </c>
      <c r="I52" s="5"/>
      <c r="J52" s="5"/>
      <c r="K52" s="5">
        <v>205</v>
      </c>
      <c r="L52" s="5">
        <v>14</v>
      </c>
      <c r="M52" s="5">
        <v>3</v>
      </c>
      <c r="N52" s="5" t="s">
        <v>3</v>
      </c>
      <c r="O52" s="5">
        <v>2</v>
      </c>
      <c r="P52" s="5">
        <f>ROUND(Source!DK37,O52)</f>
        <v>18189.28</v>
      </c>
      <c r="Q52" s="5"/>
      <c r="R52" s="5"/>
      <c r="S52" s="5"/>
      <c r="T52" s="5"/>
      <c r="U52" s="5"/>
      <c r="V52" s="5"/>
      <c r="W52" s="5">
        <v>487.12999999999994</v>
      </c>
      <c r="X52" s="5">
        <v>1</v>
      </c>
      <c r="Y52" s="5">
        <v>487.12999999999994</v>
      </c>
      <c r="Z52" s="5">
        <v>18189.28</v>
      </c>
      <c r="AA52" s="5">
        <v>1</v>
      </c>
      <c r="AB52" s="5">
        <v>18189.28</v>
      </c>
    </row>
    <row r="53" spans="1:28" ht="12.75">
      <c r="A53" s="5">
        <v>50</v>
      </c>
      <c r="B53" s="5">
        <v>0</v>
      </c>
      <c r="C53" s="5">
        <v>0</v>
      </c>
      <c r="D53" s="5">
        <v>1</v>
      </c>
      <c r="E53" s="5">
        <v>232</v>
      </c>
      <c r="F53" s="5">
        <f>ROUND(Source!BC37,O53)</f>
        <v>0</v>
      </c>
      <c r="G53" s="5" t="s">
        <v>86</v>
      </c>
      <c r="H53" s="5" t="s">
        <v>87</v>
      </c>
      <c r="I53" s="5"/>
      <c r="J53" s="5"/>
      <c r="K53" s="5">
        <v>232</v>
      </c>
      <c r="L53" s="5">
        <v>15</v>
      </c>
      <c r="M53" s="5">
        <v>3</v>
      </c>
      <c r="N53" s="5" t="s">
        <v>3</v>
      </c>
      <c r="O53" s="5">
        <v>2</v>
      </c>
      <c r="P53" s="5">
        <f>ROUND(Source!EU37,O53)</f>
        <v>0</v>
      </c>
      <c r="Q53" s="5"/>
      <c r="R53" s="5"/>
      <c r="S53" s="5"/>
      <c r="T53" s="5"/>
      <c r="U53" s="5"/>
      <c r="V53" s="5"/>
      <c r="W53" s="5">
        <v>0</v>
      </c>
      <c r="X53" s="5">
        <v>1</v>
      </c>
      <c r="Y53" s="5">
        <v>0</v>
      </c>
      <c r="Z53" s="5">
        <v>0</v>
      </c>
      <c r="AA53" s="5">
        <v>1</v>
      </c>
      <c r="AB53" s="5">
        <v>0</v>
      </c>
    </row>
    <row r="54" spans="1:28" ht="12.75">
      <c r="A54" s="5">
        <v>50</v>
      </c>
      <c r="B54" s="5">
        <v>0</v>
      </c>
      <c r="C54" s="5">
        <v>0</v>
      </c>
      <c r="D54" s="5">
        <v>1</v>
      </c>
      <c r="E54" s="5">
        <v>214</v>
      </c>
      <c r="F54" s="5">
        <f>ROUND(Source!AS37,O54)</f>
        <v>1433.98</v>
      </c>
      <c r="G54" s="5" t="s">
        <v>88</v>
      </c>
      <c r="H54" s="5" t="s">
        <v>89</v>
      </c>
      <c r="I54" s="5"/>
      <c r="J54" s="5"/>
      <c r="K54" s="5">
        <v>214</v>
      </c>
      <c r="L54" s="5">
        <v>16</v>
      </c>
      <c r="M54" s="5">
        <v>3</v>
      </c>
      <c r="N54" s="5" t="s">
        <v>3</v>
      </c>
      <c r="O54" s="5">
        <v>2</v>
      </c>
      <c r="P54" s="5">
        <f>ROUND(Source!EK37,O54)</f>
        <v>50109.77</v>
      </c>
      <c r="Q54" s="5"/>
      <c r="R54" s="5"/>
      <c r="S54" s="5"/>
      <c r="T54" s="5"/>
      <c r="U54" s="5"/>
      <c r="V54" s="5"/>
      <c r="W54" s="5">
        <v>1433.98</v>
      </c>
      <c r="X54" s="5">
        <v>1</v>
      </c>
      <c r="Y54" s="5">
        <v>1433.98</v>
      </c>
      <c r="Z54" s="5">
        <v>50109.77</v>
      </c>
      <c r="AA54" s="5">
        <v>1</v>
      </c>
      <c r="AB54" s="5">
        <v>50109.77</v>
      </c>
    </row>
    <row r="55" spans="1:28" ht="12.75">
      <c r="A55" s="5">
        <v>50</v>
      </c>
      <c r="B55" s="5">
        <v>0</v>
      </c>
      <c r="C55" s="5">
        <v>0</v>
      </c>
      <c r="D55" s="5">
        <v>1</v>
      </c>
      <c r="E55" s="5">
        <v>215</v>
      </c>
      <c r="F55" s="5">
        <f>ROUND(Source!AT37,O55)</f>
        <v>0</v>
      </c>
      <c r="G55" s="5" t="s">
        <v>90</v>
      </c>
      <c r="H55" s="5" t="s">
        <v>91</v>
      </c>
      <c r="I55" s="5"/>
      <c r="J55" s="5"/>
      <c r="K55" s="5">
        <v>215</v>
      </c>
      <c r="L55" s="5">
        <v>17</v>
      </c>
      <c r="M55" s="5">
        <v>3</v>
      </c>
      <c r="N55" s="5" t="s">
        <v>3</v>
      </c>
      <c r="O55" s="5">
        <v>2</v>
      </c>
      <c r="P55" s="5">
        <f>ROUND(Source!EL37,O55)</f>
        <v>0</v>
      </c>
      <c r="Q55" s="5"/>
      <c r="R55" s="5"/>
      <c r="S55" s="5"/>
      <c r="T55" s="5"/>
      <c r="U55" s="5"/>
      <c r="V55" s="5"/>
      <c r="W55" s="5">
        <v>0</v>
      </c>
      <c r="X55" s="5">
        <v>1</v>
      </c>
      <c r="Y55" s="5">
        <v>0</v>
      </c>
      <c r="Z55" s="5">
        <v>0</v>
      </c>
      <c r="AA55" s="5">
        <v>1</v>
      </c>
      <c r="AB55" s="5">
        <v>0</v>
      </c>
    </row>
    <row r="56" spans="1:28" ht="12.75">
      <c r="A56" s="5">
        <v>50</v>
      </c>
      <c r="B56" s="5">
        <v>0</v>
      </c>
      <c r="C56" s="5">
        <v>0</v>
      </c>
      <c r="D56" s="5">
        <v>1</v>
      </c>
      <c r="E56" s="5">
        <v>217</v>
      </c>
      <c r="F56" s="5">
        <f>ROUND(Source!AU37,O56)</f>
        <v>0</v>
      </c>
      <c r="G56" s="5" t="s">
        <v>92</v>
      </c>
      <c r="H56" s="5" t="s">
        <v>93</v>
      </c>
      <c r="I56" s="5"/>
      <c r="J56" s="5"/>
      <c r="K56" s="5">
        <v>217</v>
      </c>
      <c r="L56" s="5">
        <v>18</v>
      </c>
      <c r="M56" s="5">
        <v>3</v>
      </c>
      <c r="N56" s="5" t="s">
        <v>3</v>
      </c>
      <c r="O56" s="5">
        <v>2</v>
      </c>
      <c r="P56" s="5">
        <f>ROUND(Source!EM37,O56)</f>
        <v>0</v>
      </c>
      <c r="Q56" s="5"/>
      <c r="R56" s="5"/>
      <c r="S56" s="5"/>
      <c r="T56" s="5"/>
      <c r="U56" s="5"/>
      <c r="V56" s="5"/>
      <c r="W56" s="5">
        <v>0</v>
      </c>
      <c r="X56" s="5">
        <v>1</v>
      </c>
      <c r="Y56" s="5">
        <v>0</v>
      </c>
      <c r="Z56" s="5">
        <v>0</v>
      </c>
      <c r="AA56" s="5">
        <v>1</v>
      </c>
      <c r="AB56" s="5">
        <v>0</v>
      </c>
    </row>
    <row r="57" spans="1:28" ht="12.75">
      <c r="A57" s="5">
        <v>50</v>
      </c>
      <c r="B57" s="5">
        <v>0</v>
      </c>
      <c r="C57" s="5">
        <v>0</v>
      </c>
      <c r="D57" s="5">
        <v>1</v>
      </c>
      <c r="E57" s="5">
        <v>230</v>
      </c>
      <c r="F57" s="5">
        <f>ROUND(Source!BA37,O57)</f>
        <v>0</v>
      </c>
      <c r="G57" s="5" t="s">
        <v>94</v>
      </c>
      <c r="H57" s="5" t="s">
        <v>95</v>
      </c>
      <c r="I57" s="5"/>
      <c r="J57" s="5"/>
      <c r="K57" s="5">
        <v>230</v>
      </c>
      <c r="L57" s="5">
        <v>19</v>
      </c>
      <c r="M57" s="5">
        <v>3</v>
      </c>
      <c r="N57" s="5" t="s">
        <v>3</v>
      </c>
      <c r="O57" s="5">
        <v>2</v>
      </c>
      <c r="P57" s="5">
        <f>ROUND(Source!ES37,O57)</f>
        <v>0</v>
      </c>
      <c r="Q57" s="5"/>
      <c r="R57" s="5"/>
      <c r="S57" s="5"/>
      <c r="T57" s="5"/>
      <c r="U57" s="5"/>
      <c r="V57" s="5"/>
      <c r="W57" s="5">
        <v>0</v>
      </c>
      <c r="X57" s="5">
        <v>1</v>
      </c>
      <c r="Y57" s="5">
        <v>0</v>
      </c>
      <c r="Z57" s="5">
        <v>0</v>
      </c>
      <c r="AA57" s="5">
        <v>1</v>
      </c>
      <c r="AB57" s="5">
        <v>0</v>
      </c>
    </row>
    <row r="58" spans="1:28" ht="12.75">
      <c r="A58" s="5">
        <v>50</v>
      </c>
      <c r="B58" s="5">
        <v>0</v>
      </c>
      <c r="C58" s="5">
        <v>0</v>
      </c>
      <c r="D58" s="5">
        <v>1</v>
      </c>
      <c r="E58" s="5">
        <v>206</v>
      </c>
      <c r="F58" s="5">
        <f>ROUND(Source!T37,O58)</f>
        <v>0</v>
      </c>
      <c r="G58" s="5" t="s">
        <v>96</v>
      </c>
      <c r="H58" s="5" t="s">
        <v>97</v>
      </c>
      <c r="I58" s="5"/>
      <c r="J58" s="5"/>
      <c r="K58" s="5">
        <v>206</v>
      </c>
      <c r="L58" s="5">
        <v>20</v>
      </c>
      <c r="M58" s="5">
        <v>3</v>
      </c>
      <c r="N58" s="5" t="s">
        <v>3</v>
      </c>
      <c r="O58" s="5">
        <v>2</v>
      </c>
      <c r="P58" s="5">
        <f>ROUND(Source!DL37,O58)</f>
        <v>0</v>
      </c>
      <c r="Q58" s="5"/>
      <c r="R58" s="5"/>
      <c r="S58" s="5"/>
      <c r="T58" s="5"/>
      <c r="U58" s="5"/>
      <c r="V58" s="5"/>
      <c r="W58" s="5">
        <v>0</v>
      </c>
      <c r="X58" s="5">
        <v>1</v>
      </c>
      <c r="Y58" s="5">
        <v>0</v>
      </c>
      <c r="Z58" s="5">
        <v>0</v>
      </c>
      <c r="AA58" s="5">
        <v>1</v>
      </c>
      <c r="AB58" s="5">
        <v>0</v>
      </c>
    </row>
    <row r="59" spans="1:28" ht="12.75">
      <c r="A59" s="5">
        <v>50</v>
      </c>
      <c r="B59" s="5">
        <v>0</v>
      </c>
      <c r="C59" s="5">
        <v>0</v>
      </c>
      <c r="D59" s="5">
        <v>1</v>
      </c>
      <c r="E59" s="5">
        <v>207</v>
      </c>
      <c r="F59" s="5">
        <f>Source!U37</f>
        <v>61.957679999999996</v>
      </c>
      <c r="G59" s="5" t="s">
        <v>98</v>
      </c>
      <c r="H59" s="5" t="s">
        <v>99</v>
      </c>
      <c r="I59" s="5"/>
      <c r="J59" s="5"/>
      <c r="K59" s="5">
        <v>207</v>
      </c>
      <c r="L59" s="5">
        <v>21</v>
      </c>
      <c r="M59" s="5">
        <v>3</v>
      </c>
      <c r="N59" s="5" t="s">
        <v>3</v>
      </c>
      <c r="O59" s="5">
        <v>-1</v>
      </c>
      <c r="P59" s="5">
        <f>Source!DM37</f>
        <v>61.957679999999996</v>
      </c>
      <c r="Q59" s="5"/>
      <c r="R59" s="5"/>
      <c r="S59" s="5"/>
      <c r="T59" s="5"/>
      <c r="U59" s="5"/>
      <c r="V59" s="5"/>
      <c r="W59" s="5">
        <v>61.95768</v>
      </c>
      <c r="X59" s="5">
        <v>1</v>
      </c>
      <c r="Y59" s="5">
        <v>61.95768</v>
      </c>
      <c r="Z59" s="5">
        <v>61.95768</v>
      </c>
      <c r="AA59" s="5">
        <v>1</v>
      </c>
      <c r="AB59" s="5">
        <v>61.95768</v>
      </c>
    </row>
    <row r="60" spans="1:28" ht="12.75">
      <c r="A60" s="5">
        <v>50</v>
      </c>
      <c r="B60" s="5">
        <v>0</v>
      </c>
      <c r="C60" s="5">
        <v>0</v>
      </c>
      <c r="D60" s="5">
        <v>1</v>
      </c>
      <c r="E60" s="5">
        <v>208</v>
      </c>
      <c r="F60" s="5">
        <f>Source!V37</f>
        <v>1.31144</v>
      </c>
      <c r="G60" s="5" t="s">
        <v>100</v>
      </c>
      <c r="H60" s="5" t="s">
        <v>101</v>
      </c>
      <c r="I60" s="5"/>
      <c r="J60" s="5"/>
      <c r="K60" s="5">
        <v>208</v>
      </c>
      <c r="L60" s="5">
        <v>22</v>
      </c>
      <c r="M60" s="5">
        <v>3</v>
      </c>
      <c r="N60" s="5" t="s">
        <v>3</v>
      </c>
      <c r="O60" s="5">
        <v>-1</v>
      </c>
      <c r="P60" s="5">
        <f>Source!DN37</f>
        <v>1.31144</v>
      </c>
      <c r="Q60" s="5"/>
      <c r="R60" s="5"/>
      <c r="S60" s="5"/>
      <c r="T60" s="5"/>
      <c r="U60" s="5"/>
      <c r="V60" s="5"/>
      <c r="W60" s="5">
        <v>1.31144</v>
      </c>
      <c r="X60" s="5">
        <v>1</v>
      </c>
      <c r="Y60" s="5">
        <v>1.31144</v>
      </c>
      <c r="Z60" s="5">
        <v>1.31144</v>
      </c>
      <c r="AA60" s="5">
        <v>1</v>
      </c>
      <c r="AB60" s="5">
        <v>1.31144</v>
      </c>
    </row>
    <row r="61" spans="1:28" ht="12.75">
      <c r="A61" s="5">
        <v>50</v>
      </c>
      <c r="B61" s="5">
        <v>0</v>
      </c>
      <c r="C61" s="5">
        <v>0</v>
      </c>
      <c r="D61" s="5">
        <v>1</v>
      </c>
      <c r="E61" s="5">
        <v>209</v>
      </c>
      <c r="F61" s="5">
        <f>ROUND(Source!W37,O61)</f>
        <v>0</v>
      </c>
      <c r="G61" s="5" t="s">
        <v>102</v>
      </c>
      <c r="H61" s="5" t="s">
        <v>103</v>
      </c>
      <c r="I61" s="5"/>
      <c r="J61" s="5"/>
      <c r="K61" s="5">
        <v>209</v>
      </c>
      <c r="L61" s="5">
        <v>23</v>
      </c>
      <c r="M61" s="5">
        <v>3</v>
      </c>
      <c r="N61" s="5" t="s">
        <v>3</v>
      </c>
      <c r="O61" s="5">
        <v>2</v>
      </c>
      <c r="P61" s="5">
        <f>ROUND(Source!DO37,O61)</f>
        <v>0</v>
      </c>
      <c r="Q61" s="5"/>
      <c r="R61" s="5"/>
      <c r="S61" s="5"/>
      <c r="T61" s="5"/>
      <c r="U61" s="5"/>
      <c r="V61" s="5"/>
      <c r="W61" s="5">
        <v>0</v>
      </c>
      <c r="X61" s="5">
        <v>1</v>
      </c>
      <c r="Y61" s="5">
        <v>0</v>
      </c>
      <c r="Z61" s="5">
        <v>0</v>
      </c>
      <c r="AA61" s="5">
        <v>1</v>
      </c>
      <c r="AB61" s="5">
        <v>0</v>
      </c>
    </row>
    <row r="62" spans="1:28" ht="12.75">
      <c r="A62" s="5">
        <v>50</v>
      </c>
      <c r="B62" s="5">
        <v>0</v>
      </c>
      <c r="C62" s="5">
        <v>0</v>
      </c>
      <c r="D62" s="5">
        <v>1</v>
      </c>
      <c r="E62" s="5">
        <v>233</v>
      </c>
      <c r="F62" s="5">
        <f>ROUND(Source!BD37,O62)</f>
        <v>0</v>
      </c>
      <c r="G62" s="5" t="s">
        <v>104</v>
      </c>
      <c r="H62" s="5" t="s">
        <v>105</v>
      </c>
      <c r="I62" s="5"/>
      <c r="J62" s="5"/>
      <c r="K62" s="5">
        <v>233</v>
      </c>
      <c r="L62" s="5">
        <v>24</v>
      </c>
      <c r="M62" s="5">
        <v>3</v>
      </c>
      <c r="N62" s="5" t="s">
        <v>3</v>
      </c>
      <c r="O62" s="5">
        <v>2</v>
      </c>
      <c r="P62" s="5">
        <f>ROUND(Source!EV37,O62)</f>
        <v>0</v>
      </c>
      <c r="Q62" s="5"/>
      <c r="R62" s="5"/>
      <c r="S62" s="5"/>
      <c r="T62" s="5"/>
      <c r="U62" s="5"/>
      <c r="V62" s="5"/>
      <c r="W62" s="5">
        <v>0</v>
      </c>
      <c r="X62" s="5">
        <v>1</v>
      </c>
      <c r="Y62" s="5">
        <v>0</v>
      </c>
      <c r="Z62" s="5">
        <v>0</v>
      </c>
      <c r="AA62" s="5">
        <v>1</v>
      </c>
      <c r="AB62" s="5">
        <v>0</v>
      </c>
    </row>
    <row r="63" spans="1:28" ht="12.75">
      <c r="A63" s="5">
        <v>50</v>
      </c>
      <c r="B63" s="5">
        <v>0</v>
      </c>
      <c r="C63" s="5">
        <v>0</v>
      </c>
      <c r="D63" s="5">
        <v>1</v>
      </c>
      <c r="E63" s="5">
        <v>210</v>
      </c>
      <c r="F63" s="5">
        <f>ROUND(Source!X37,O63)</f>
        <v>510.31</v>
      </c>
      <c r="G63" s="5" t="s">
        <v>106</v>
      </c>
      <c r="H63" s="5" t="s">
        <v>107</v>
      </c>
      <c r="I63" s="5"/>
      <c r="J63" s="5"/>
      <c r="K63" s="5">
        <v>210</v>
      </c>
      <c r="L63" s="5">
        <v>25</v>
      </c>
      <c r="M63" s="5">
        <v>3</v>
      </c>
      <c r="N63" s="5" t="s">
        <v>3</v>
      </c>
      <c r="O63" s="5">
        <v>2</v>
      </c>
      <c r="P63" s="5">
        <f>ROUND(Source!DP37,O63)</f>
        <v>19054.73</v>
      </c>
      <c r="Q63" s="5"/>
      <c r="R63" s="5"/>
      <c r="S63" s="5"/>
      <c r="T63" s="5"/>
      <c r="U63" s="5"/>
      <c r="V63" s="5"/>
      <c r="W63" s="5">
        <v>510.31</v>
      </c>
      <c r="X63" s="5">
        <v>1</v>
      </c>
      <c r="Y63" s="5">
        <v>510.31</v>
      </c>
      <c r="Z63" s="5">
        <v>19054.73</v>
      </c>
      <c r="AA63" s="5">
        <v>1</v>
      </c>
      <c r="AB63" s="5">
        <v>19054.73</v>
      </c>
    </row>
    <row r="64" spans="1:28" ht="12.75">
      <c r="A64" s="5">
        <v>50</v>
      </c>
      <c r="B64" s="5">
        <v>0</v>
      </c>
      <c r="C64" s="5">
        <v>0</v>
      </c>
      <c r="D64" s="5">
        <v>1</v>
      </c>
      <c r="E64" s="5">
        <v>211</v>
      </c>
      <c r="F64" s="5">
        <f>ROUND(Source!Y37,O64)</f>
        <v>294.02</v>
      </c>
      <c r="G64" s="5" t="s">
        <v>108</v>
      </c>
      <c r="H64" s="5" t="s">
        <v>109</v>
      </c>
      <c r="I64" s="5"/>
      <c r="J64" s="5"/>
      <c r="K64" s="5">
        <v>211</v>
      </c>
      <c r="L64" s="5">
        <v>26</v>
      </c>
      <c r="M64" s="5">
        <v>3</v>
      </c>
      <c r="N64" s="5" t="s">
        <v>3</v>
      </c>
      <c r="O64" s="5">
        <v>2</v>
      </c>
      <c r="P64" s="5">
        <f>ROUND(Source!DQ37,O64)</f>
        <v>10978.93</v>
      </c>
      <c r="Q64" s="5"/>
      <c r="R64" s="5"/>
      <c r="S64" s="5"/>
      <c r="T64" s="5"/>
      <c r="U64" s="5"/>
      <c r="V64" s="5"/>
      <c r="W64" s="5">
        <v>294.02</v>
      </c>
      <c r="X64" s="5">
        <v>1</v>
      </c>
      <c r="Y64" s="5">
        <v>294.02</v>
      </c>
      <c r="Z64" s="5">
        <v>10978.93</v>
      </c>
      <c r="AA64" s="5">
        <v>1</v>
      </c>
      <c r="AB64" s="5">
        <v>10978.93</v>
      </c>
    </row>
    <row r="65" spans="1:28" ht="12.75">
      <c r="A65" s="5">
        <v>50</v>
      </c>
      <c r="B65" s="5">
        <v>0</v>
      </c>
      <c r="C65" s="5">
        <v>0</v>
      </c>
      <c r="D65" s="5">
        <v>1</v>
      </c>
      <c r="E65" s="5">
        <v>224</v>
      </c>
      <c r="F65" s="5">
        <f>ROUND(Source!AR37,O65)</f>
        <v>1433.98</v>
      </c>
      <c r="G65" s="5" t="s">
        <v>110</v>
      </c>
      <c r="H65" s="5" t="s">
        <v>111</v>
      </c>
      <c r="I65" s="5"/>
      <c r="J65" s="5"/>
      <c r="K65" s="5">
        <v>224</v>
      </c>
      <c r="L65" s="5">
        <v>27</v>
      </c>
      <c r="M65" s="5">
        <v>3</v>
      </c>
      <c r="N65" s="5" t="s">
        <v>3</v>
      </c>
      <c r="O65" s="5">
        <v>2</v>
      </c>
      <c r="P65" s="5">
        <f>ROUND(Source!EJ37,O65)</f>
        <v>50109.77</v>
      </c>
      <c r="Q65" s="5"/>
      <c r="R65" s="5"/>
      <c r="S65" s="5"/>
      <c r="T65" s="5"/>
      <c r="U65" s="5"/>
      <c r="V65" s="5"/>
      <c r="W65" s="5">
        <v>1433.98</v>
      </c>
      <c r="X65" s="5">
        <v>1</v>
      </c>
      <c r="Y65" s="5">
        <v>1433.98</v>
      </c>
      <c r="Z65" s="5">
        <v>50109.77</v>
      </c>
      <c r="AA65" s="5">
        <v>1</v>
      </c>
      <c r="AB65" s="5">
        <v>50109.77</v>
      </c>
    </row>
    <row r="67" spans="1:88" ht="12.75">
      <c r="A67" s="1">
        <v>4</v>
      </c>
      <c r="B67" s="1">
        <v>1</v>
      </c>
      <c r="C67" s="1"/>
      <c r="D67" s="1">
        <f>ROW(A96)</f>
        <v>96</v>
      </c>
      <c r="E67" s="1"/>
      <c r="F67" s="1" t="s">
        <v>19</v>
      </c>
      <c r="G67" s="1" t="s">
        <v>112</v>
      </c>
      <c r="H67" s="1" t="s">
        <v>3</v>
      </c>
      <c r="I67" s="1">
        <v>0</v>
      </c>
      <c r="J67" s="1"/>
      <c r="K67" s="1">
        <v>-1</v>
      </c>
      <c r="L67" s="1"/>
      <c r="M67" s="1" t="s">
        <v>3</v>
      </c>
      <c r="N67" s="1"/>
      <c r="O67" s="1"/>
      <c r="P67" s="1"/>
      <c r="Q67" s="1"/>
      <c r="R67" s="1"/>
      <c r="S67" s="1">
        <v>0</v>
      </c>
      <c r="T67" s="1">
        <v>0</v>
      </c>
      <c r="U67" s="1" t="s">
        <v>3</v>
      </c>
      <c r="V67" s="1">
        <v>0</v>
      </c>
      <c r="W67" s="1"/>
      <c r="X67" s="1"/>
      <c r="Y67" s="1"/>
      <c r="Z67" s="1"/>
      <c r="AA67" s="1"/>
      <c r="AB67" s="1" t="s">
        <v>3</v>
      </c>
      <c r="AC67" s="1" t="s">
        <v>3</v>
      </c>
      <c r="AD67" s="1" t="s">
        <v>3</v>
      </c>
      <c r="AE67" s="1" t="s">
        <v>3</v>
      </c>
      <c r="AF67" s="1" t="s">
        <v>3</v>
      </c>
      <c r="AG67" s="1" t="s">
        <v>3</v>
      </c>
      <c r="AH67" s="1"/>
      <c r="AI67" s="1"/>
      <c r="AJ67" s="1"/>
      <c r="AK67" s="1"/>
      <c r="AL67" s="1"/>
      <c r="AM67" s="1"/>
      <c r="AN67" s="1"/>
      <c r="AO67" s="1"/>
      <c r="AP67" s="1" t="s">
        <v>3</v>
      </c>
      <c r="AQ67" s="1" t="s">
        <v>3</v>
      </c>
      <c r="AR67" s="1" t="s">
        <v>3</v>
      </c>
      <c r="AS67" s="1"/>
      <c r="AT67" s="1"/>
      <c r="AU67" s="1"/>
      <c r="AV67" s="1"/>
      <c r="AW67" s="1"/>
      <c r="AX67" s="1"/>
      <c r="AY67" s="1"/>
      <c r="AZ67" s="1" t="s">
        <v>3</v>
      </c>
      <c r="BA67" s="1"/>
      <c r="BB67" s="1" t="s">
        <v>3</v>
      </c>
      <c r="BC67" s="1" t="s">
        <v>3</v>
      </c>
      <c r="BD67" s="1" t="s">
        <v>3</v>
      </c>
      <c r="BE67" s="1" t="s">
        <v>3</v>
      </c>
      <c r="BF67" s="1" t="s">
        <v>3</v>
      </c>
      <c r="BG67" s="1" t="s">
        <v>3</v>
      </c>
      <c r="BH67" s="1" t="s">
        <v>3</v>
      </c>
      <c r="BI67" s="1" t="s">
        <v>3</v>
      </c>
      <c r="BJ67" s="1" t="s">
        <v>3</v>
      </c>
      <c r="BK67" s="1" t="s">
        <v>3</v>
      </c>
      <c r="BL67" s="1" t="s">
        <v>3</v>
      </c>
      <c r="BM67" s="1" t="s">
        <v>3</v>
      </c>
      <c r="BN67" s="1" t="s">
        <v>3</v>
      </c>
      <c r="BO67" s="1" t="s">
        <v>3</v>
      </c>
      <c r="BP67" s="1" t="s">
        <v>3</v>
      </c>
      <c r="BQ67" s="1"/>
      <c r="BR67" s="1"/>
      <c r="BS67" s="1"/>
      <c r="BT67" s="1"/>
      <c r="BU67" s="1"/>
      <c r="BV67" s="1"/>
      <c r="BW67" s="1"/>
      <c r="BX67" s="1">
        <v>0</v>
      </c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>
        <v>0</v>
      </c>
    </row>
    <row r="69" spans="1:206" ht="12.75">
      <c r="A69" s="3">
        <v>52</v>
      </c>
      <c r="B69" s="3">
        <f aca="true" t="shared" si="54" ref="B69:G69">B96</f>
        <v>1</v>
      </c>
      <c r="C69" s="3">
        <f t="shared" si="54"/>
        <v>4</v>
      </c>
      <c r="D69" s="3">
        <f t="shared" si="54"/>
        <v>67</v>
      </c>
      <c r="E69" s="3">
        <f t="shared" si="54"/>
        <v>0</v>
      </c>
      <c r="F69" s="3" t="str">
        <f t="shared" si="54"/>
        <v>Новый раздел</v>
      </c>
      <c r="G69" s="3" t="str">
        <f t="shared" si="54"/>
        <v>Монтажные работы</v>
      </c>
      <c r="H69" s="3"/>
      <c r="I69" s="3"/>
      <c r="J69" s="3"/>
      <c r="K69" s="3"/>
      <c r="L69" s="3"/>
      <c r="M69" s="3"/>
      <c r="N69" s="3"/>
      <c r="O69" s="3">
        <f aca="true" t="shared" si="55" ref="O69:AT69">O96</f>
        <v>22218.87</v>
      </c>
      <c r="P69" s="3">
        <f t="shared" si="55"/>
        <v>20974.53</v>
      </c>
      <c r="Q69" s="3">
        <f t="shared" si="55"/>
        <v>368.9</v>
      </c>
      <c r="R69" s="3">
        <f t="shared" si="55"/>
        <v>46.63</v>
      </c>
      <c r="S69" s="3">
        <f t="shared" si="55"/>
        <v>875.44</v>
      </c>
      <c r="T69" s="3">
        <f t="shared" si="55"/>
        <v>0</v>
      </c>
      <c r="U69" s="3">
        <f t="shared" si="55"/>
        <v>97.61590999999999</v>
      </c>
      <c r="V69" s="3">
        <f t="shared" si="55"/>
        <v>3.9850499999999998</v>
      </c>
      <c r="W69" s="3">
        <f t="shared" si="55"/>
        <v>0</v>
      </c>
      <c r="X69" s="3">
        <f t="shared" si="55"/>
        <v>904.55</v>
      </c>
      <c r="Y69" s="3">
        <f t="shared" si="55"/>
        <v>446.73</v>
      </c>
      <c r="Z69" s="3">
        <f t="shared" si="55"/>
        <v>0</v>
      </c>
      <c r="AA69" s="3">
        <f t="shared" si="55"/>
        <v>0</v>
      </c>
      <c r="AB69" s="3">
        <f t="shared" si="55"/>
        <v>22218.87</v>
      </c>
      <c r="AC69" s="3">
        <f t="shared" si="55"/>
        <v>20974.53</v>
      </c>
      <c r="AD69" s="3">
        <f t="shared" si="55"/>
        <v>368.9</v>
      </c>
      <c r="AE69" s="3">
        <f t="shared" si="55"/>
        <v>46.63</v>
      </c>
      <c r="AF69" s="3">
        <f t="shared" si="55"/>
        <v>875.44</v>
      </c>
      <c r="AG69" s="3">
        <f t="shared" si="55"/>
        <v>0</v>
      </c>
      <c r="AH69" s="3">
        <f t="shared" si="55"/>
        <v>97.61590999999999</v>
      </c>
      <c r="AI69" s="3">
        <f t="shared" si="55"/>
        <v>3.9850499999999998</v>
      </c>
      <c r="AJ69" s="3">
        <f t="shared" si="55"/>
        <v>0</v>
      </c>
      <c r="AK69" s="3">
        <f t="shared" si="55"/>
        <v>904.55</v>
      </c>
      <c r="AL69" s="3">
        <f t="shared" si="55"/>
        <v>446.73</v>
      </c>
      <c r="AM69" s="3">
        <f t="shared" si="55"/>
        <v>0</v>
      </c>
      <c r="AN69" s="3">
        <f t="shared" si="55"/>
        <v>0</v>
      </c>
      <c r="AO69" s="3">
        <f t="shared" si="55"/>
        <v>0</v>
      </c>
      <c r="AP69" s="3">
        <f t="shared" si="55"/>
        <v>0</v>
      </c>
      <c r="AQ69" s="3">
        <f t="shared" si="55"/>
        <v>0</v>
      </c>
      <c r="AR69" s="3">
        <f t="shared" si="55"/>
        <v>23570.15</v>
      </c>
      <c r="AS69" s="3">
        <f t="shared" si="55"/>
        <v>23570.15</v>
      </c>
      <c r="AT69" s="3">
        <f t="shared" si="55"/>
        <v>0</v>
      </c>
      <c r="AU69" s="3">
        <f aca="true" t="shared" si="56" ref="AU69:BZ69">AU96</f>
        <v>0</v>
      </c>
      <c r="AV69" s="3">
        <f t="shared" si="56"/>
        <v>20974.53</v>
      </c>
      <c r="AW69" s="3">
        <f t="shared" si="56"/>
        <v>20974.53</v>
      </c>
      <c r="AX69" s="3">
        <f t="shared" si="56"/>
        <v>0</v>
      </c>
      <c r="AY69" s="3">
        <f t="shared" si="56"/>
        <v>20974.53</v>
      </c>
      <c r="AZ69" s="3">
        <f t="shared" si="56"/>
        <v>0</v>
      </c>
      <c r="BA69" s="3">
        <f t="shared" si="56"/>
        <v>0</v>
      </c>
      <c r="BB69" s="3">
        <f t="shared" si="56"/>
        <v>0</v>
      </c>
      <c r="BC69" s="3">
        <f t="shared" si="56"/>
        <v>0</v>
      </c>
      <c r="BD69" s="3">
        <f t="shared" si="56"/>
        <v>0</v>
      </c>
      <c r="BE69" s="3">
        <f t="shared" si="56"/>
        <v>0</v>
      </c>
      <c r="BF69" s="3">
        <f t="shared" si="56"/>
        <v>0</v>
      </c>
      <c r="BG69" s="3">
        <f t="shared" si="56"/>
        <v>0</v>
      </c>
      <c r="BH69" s="3">
        <f t="shared" si="56"/>
        <v>0</v>
      </c>
      <c r="BI69" s="3">
        <f t="shared" si="56"/>
        <v>0</v>
      </c>
      <c r="BJ69" s="3">
        <f t="shared" si="56"/>
        <v>0</v>
      </c>
      <c r="BK69" s="3">
        <f t="shared" si="56"/>
        <v>0</v>
      </c>
      <c r="BL69" s="3">
        <f t="shared" si="56"/>
        <v>0</v>
      </c>
      <c r="BM69" s="3">
        <f t="shared" si="56"/>
        <v>0</v>
      </c>
      <c r="BN69" s="3">
        <f t="shared" si="56"/>
        <v>0</v>
      </c>
      <c r="BO69" s="3">
        <f t="shared" si="56"/>
        <v>0</v>
      </c>
      <c r="BP69" s="3">
        <f t="shared" si="56"/>
        <v>0</v>
      </c>
      <c r="BQ69" s="3">
        <f t="shared" si="56"/>
        <v>0</v>
      </c>
      <c r="BR69" s="3">
        <f t="shared" si="56"/>
        <v>0</v>
      </c>
      <c r="BS69" s="3">
        <f t="shared" si="56"/>
        <v>0</v>
      </c>
      <c r="BT69" s="3">
        <f t="shared" si="56"/>
        <v>0</v>
      </c>
      <c r="BU69" s="3">
        <f t="shared" si="56"/>
        <v>0</v>
      </c>
      <c r="BV69" s="3">
        <f t="shared" si="56"/>
        <v>0</v>
      </c>
      <c r="BW69" s="3">
        <f t="shared" si="56"/>
        <v>0</v>
      </c>
      <c r="BX69" s="3">
        <f t="shared" si="56"/>
        <v>0</v>
      </c>
      <c r="BY69" s="3">
        <f t="shared" si="56"/>
        <v>0</v>
      </c>
      <c r="BZ69" s="3">
        <f t="shared" si="56"/>
        <v>0</v>
      </c>
      <c r="CA69" s="3">
        <f aca="true" t="shared" si="57" ref="CA69:DF69">CA96</f>
        <v>23570.15</v>
      </c>
      <c r="CB69" s="3">
        <f t="shared" si="57"/>
        <v>23570.15</v>
      </c>
      <c r="CC69" s="3">
        <f t="shared" si="57"/>
        <v>0</v>
      </c>
      <c r="CD69" s="3">
        <f t="shared" si="57"/>
        <v>0</v>
      </c>
      <c r="CE69" s="3">
        <f t="shared" si="57"/>
        <v>20974.53</v>
      </c>
      <c r="CF69" s="3">
        <f t="shared" si="57"/>
        <v>20974.53</v>
      </c>
      <c r="CG69" s="3">
        <f t="shared" si="57"/>
        <v>0</v>
      </c>
      <c r="CH69" s="3">
        <f t="shared" si="57"/>
        <v>20974.53</v>
      </c>
      <c r="CI69" s="3">
        <f t="shared" si="57"/>
        <v>0</v>
      </c>
      <c r="CJ69" s="3">
        <f t="shared" si="57"/>
        <v>0</v>
      </c>
      <c r="CK69" s="3">
        <f t="shared" si="57"/>
        <v>0</v>
      </c>
      <c r="CL69" s="3">
        <f t="shared" si="57"/>
        <v>0</v>
      </c>
      <c r="CM69" s="3">
        <f t="shared" si="57"/>
        <v>0</v>
      </c>
      <c r="CN69" s="3">
        <f t="shared" si="57"/>
        <v>0</v>
      </c>
      <c r="CO69" s="3">
        <f t="shared" si="57"/>
        <v>0</v>
      </c>
      <c r="CP69" s="3">
        <f t="shared" si="57"/>
        <v>0</v>
      </c>
      <c r="CQ69" s="3">
        <f t="shared" si="57"/>
        <v>0</v>
      </c>
      <c r="CR69" s="3">
        <f t="shared" si="57"/>
        <v>0</v>
      </c>
      <c r="CS69" s="3">
        <f t="shared" si="57"/>
        <v>0</v>
      </c>
      <c r="CT69" s="3">
        <f t="shared" si="57"/>
        <v>0</v>
      </c>
      <c r="CU69" s="3">
        <f t="shared" si="57"/>
        <v>0</v>
      </c>
      <c r="CV69" s="3">
        <f t="shared" si="57"/>
        <v>0</v>
      </c>
      <c r="CW69" s="3">
        <f t="shared" si="57"/>
        <v>0</v>
      </c>
      <c r="CX69" s="3">
        <f t="shared" si="57"/>
        <v>0</v>
      </c>
      <c r="CY69" s="3">
        <f t="shared" si="57"/>
        <v>0</v>
      </c>
      <c r="CZ69" s="3">
        <f t="shared" si="57"/>
        <v>0</v>
      </c>
      <c r="DA69" s="3">
        <f t="shared" si="57"/>
        <v>0</v>
      </c>
      <c r="DB69" s="3">
        <f t="shared" si="57"/>
        <v>0</v>
      </c>
      <c r="DC69" s="3">
        <f t="shared" si="57"/>
        <v>0</v>
      </c>
      <c r="DD69" s="3">
        <f t="shared" si="57"/>
        <v>0</v>
      </c>
      <c r="DE69" s="3">
        <f t="shared" si="57"/>
        <v>0</v>
      </c>
      <c r="DF69" s="3">
        <f t="shared" si="57"/>
        <v>0</v>
      </c>
      <c r="DG69" s="4">
        <f aca="true" t="shared" si="58" ref="DG69:EL69">DG96</f>
        <v>178522.44</v>
      </c>
      <c r="DH69" s="4">
        <f t="shared" si="58"/>
        <v>140948.72</v>
      </c>
      <c r="DI69" s="4">
        <f t="shared" si="58"/>
        <v>4885.08</v>
      </c>
      <c r="DJ69" s="4">
        <f t="shared" si="58"/>
        <v>1741.35</v>
      </c>
      <c r="DK69" s="4">
        <f t="shared" si="58"/>
        <v>32688.64</v>
      </c>
      <c r="DL69" s="4">
        <f t="shared" si="58"/>
        <v>0</v>
      </c>
      <c r="DM69" s="4">
        <f t="shared" si="58"/>
        <v>97.61590999999999</v>
      </c>
      <c r="DN69" s="4">
        <f t="shared" si="58"/>
        <v>3.9850499999999998</v>
      </c>
      <c r="DO69" s="4">
        <f t="shared" si="58"/>
        <v>0</v>
      </c>
      <c r="DP69" s="4">
        <f t="shared" si="58"/>
        <v>33775.81</v>
      </c>
      <c r="DQ69" s="4">
        <f t="shared" si="58"/>
        <v>16681.34</v>
      </c>
      <c r="DR69" s="4">
        <f t="shared" si="58"/>
        <v>0</v>
      </c>
      <c r="DS69" s="4">
        <f t="shared" si="58"/>
        <v>0</v>
      </c>
      <c r="DT69" s="4">
        <f t="shared" si="58"/>
        <v>178522.44</v>
      </c>
      <c r="DU69" s="4">
        <f t="shared" si="58"/>
        <v>140948.72</v>
      </c>
      <c r="DV69" s="4">
        <f t="shared" si="58"/>
        <v>4885.08</v>
      </c>
      <c r="DW69" s="4">
        <f t="shared" si="58"/>
        <v>1741.35</v>
      </c>
      <c r="DX69" s="4">
        <f t="shared" si="58"/>
        <v>32688.64</v>
      </c>
      <c r="DY69" s="4">
        <f t="shared" si="58"/>
        <v>0</v>
      </c>
      <c r="DZ69" s="4">
        <f t="shared" si="58"/>
        <v>97.61590999999999</v>
      </c>
      <c r="EA69" s="4">
        <f t="shared" si="58"/>
        <v>3.9850499999999998</v>
      </c>
      <c r="EB69" s="4">
        <f t="shared" si="58"/>
        <v>0</v>
      </c>
      <c r="EC69" s="4">
        <f t="shared" si="58"/>
        <v>33775.81</v>
      </c>
      <c r="ED69" s="4">
        <f t="shared" si="58"/>
        <v>16681.34</v>
      </c>
      <c r="EE69" s="4">
        <f t="shared" si="58"/>
        <v>0</v>
      </c>
      <c r="EF69" s="4">
        <f t="shared" si="58"/>
        <v>0</v>
      </c>
      <c r="EG69" s="4">
        <f t="shared" si="58"/>
        <v>0</v>
      </c>
      <c r="EH69" s="4">
        <f t="shared" si="58"/>
        <v>0</v>
      </c>
      <c r="EI69" s="4">
        <f t="shared" si="58"/>
        <v>0</v>
      </c>
      <c r="EJ69" s="4">
        <f t="shared" si="58"/>
        <v>228979.59</v>
      </c>
      <c r="EK69" s="4">
        <f t="shared" si="58"/>
        <v>228979.59</v>
      </c>
      <c r="EL69" s="4">
        <f t="shared" si="58"/>
        <v>0</v>
      </c>
      <c r="EM69" s="4">
        <f aca="true" t="shared" si="59" ref="EM69:FR69">EM96</f>
        <v>0</v>
      </c>
      <c r="EN69" s="4">
        <f t="shared" si="59"/>
        <v>140948.72</v>
      </c>
      <c r="EO69" s="4">
        <f t="shared" si="59"/>
        <v>140948.72</v>
      </c>
      <c r="EP69" s="4">
        <f t="shared" si="59"/>
        <v>0</v>
      </c>
      <c r="EQ69" s="4">
        <f t="shared" si="59"/>
        <v>140948.72</v>
      </c>
      <c r="ER69" s="4">
        <f t="shared" si="59"/>
        <v>0</v>
      </c>
      <c r="ES69" s="4">
        <f t="shared" si="59"/>
        <v>0</v>
      </c>
      <c r="ET69" s="4">
        <f t="shared" si="59"/>
        <v>0</v>
      </c>
      <c r="EU69" s="4">
        <f t="shared" si="59"/>
        <v>0</v>
      </c>
      <c r="EV69" s="4">
        <f t="shared" si="59"/>
        <v>0</v>
      </c>
      <c r="EW69" s="4">
        <f t="shared" si="59"/>
        <v>0</v>
      </c>
      <c r="EX69" s="4">
        <f t="shared" si="59"/>
        <v>0</v>
      </c>
      <c r="EY69" s="4">
        <f t="shared" si="59"/>
        <v>0</v>
      </c>
      <c r="EZ69" s="4">
        <f t="shared" si="59"/>
        <v>0</v>
      </c>
      <c r="FA69" s="4">
        <f t="shared" si="59"/>
        <v>0</v>
      </c>
      <c r="FB69" s="4">
        <f t="shared" si="59"/>
        <v>0</v>
      </c>
      <c r="FC69" s="4">
        <f t="shared" si="59"/>
        <v>0</v>
      </c>
      <c r="FD69" s="4">
        <f t="shared" si="59"/>
        <v>0</v>
      </c>
      <c r="FE69" s="4">
        <f t="shared" si="59"/>
        <v>0</v>
      </c>
      <c r="FF69" s="4">
        <f t="shared" si="59"/>
        <v>0</v>
      </c>
      <c r="FG69" s="4">
        <f t="shared" si="59"/>
        <v>0</v>
      </c>
      <c r="FH69" s="4">
        <f t="shared" si="59"/>
        <v>0</v>
      </c>
      <c r="FI69" s="4">
        <f t="shared" si="59"/>
        <v>0</v>
      </c>
      <c r="FJ69" s="4">
        <f t="shared" si="59"/>
        <v>0</v>
      </c>
      <c r="FK69" s="4">
        <f t="shared" si="59"/>
        <v>0</v>
      </c>
      <c r="FL69" s="4">
        <f t="shared" si="59"/>
        <v>0</v>
      </c>
      <c r="FM69" s="4">
        <f t="shared" si="59"/>
        <v>0</v>
      </c>
      <c r="FN69" s="4">
        <f t="shared" si="59"/>
        <v>0</v>
      </c>
      <c r="FO69" s="4">
        <f t="shared" si="59"/>
        <v>0</v>
      </c>
      <c r="FP69" s="4">
        <f t="shared" si="59"/>
        <v>0</v>
      </c>
      <c r="FQ69" s="4">
        <f t="shared" si="59"/>
        <v>0</v>
      </c>
      <c r="FR69" s="4">
        <f t="shared" si="59"/>
        <v>0</v>
      </c>
      <c r="FS69" s="4">
        <f aca="true" t="shared" si="60" ref="FS69:GX69">FS96</f>
        <v>228979.59</v>
      </c>
      <c r="FT69" s="4">
        <f t="shared" si="60"/>
        <v>228979.59</v>
      </c>
      <c r="FU69" s="4">
        <f t="shared" si="60"/>
        <v>0</v>
      </c>
      <c r="FV69" s="4">
        <f t="shared" si="60"/>
        <v>0</v>
      </c>
      <c r="FW69" s="4">
        <f t="shared" si="60"/>
        <v>140948.72</v>
      </c>
      <c r="FX69" s="4">
        <f t="shared" si="60"/>
        <v>140948.72</v>
      </c>
      <c r="FY69" s="4">
        <f t="shared" si="60"/>
        <v>0</v>
      </c>
      <c r="FZ69" s="4">
        <f t="shared" si="60"/>
        <v>140948.72</v>
      </c>
      <c r="GA69" s="4">
        <f t="shared" si="60"/>
        <v>0</v>
      </c>
      <c r="GB69" s="4">
        <f t="shared" si="60"/>
        <v>0</v>
      </c>
      <c r="GC69" s="4">
        <f t="shared" si="60"/>
        <v>0</v>
      </c>
      <c r="GD69" s="4">
        <f t="shared" si="60"/>
        <v>0</v>
      </c>
      <c r="GE69" s="4">
        <f t="shared" si="60"/>
        <v>0</v>
      </c>
      <c r="GF69" s="4">
        <f t="shared" si="60"/>
        <v>0</v>
      </c>
      <c r="GG69" s="4">
        <f t="shared" si="60"/>
        <v>0</v>
      </c>
      <c r="GH69" s="4">
        <f t="shared" si="60"/>
        <v>0</v>
      </c>
      <c r="GI69" s="4">
        <f t="shared" si="60"/>
        <v>0</v>
      </c>
      <c r="GJ69" s="4">
        <f t="shared" si="60"/>
        <v>0</v>
      </c>
      <c r="GK69" s="4">
        <f t="shared" si="60"/>
        <v>0</v>
      </c>
      <c r="GL69" s="4">
        <f t="shared" si="60"/>
        <v>0</v>
      </c>
      <c r="GM69" s="4">
        <f t="shared" si="60"/>
        <v>0</v>
      </c>
      <c r="GN69" s="4">
        <f t="shared" si="60"/>
        <v>0</v>
      </c>
      <c r="GO69" s="4">
        <f t="shared" si="60"/>
        <v>0</v>
      </c>
      <c r="GP69" s="4">
        <f t="shared" si="60"/>
        <v>0</v>
      </c>
      <c r="GQ69" s="4">
        <f t="shared" si="60"/>
        <v>0</v>
      </c>
      <c r="GR69" s="4">
        <f t="shared" si="60"/>
        <v>0</v>
      </c>
      <c r="GS69" s="4">
        <f t="shared" si="60"/>
        <v>0</v>
      </c>
      <c r="GT69" s="4">
        <f t="shared" si="60"/>
        <v>0</v>
      </c>
      <c r="GU69" s="4">
        <f t="shared" si="60"/>
        <v>0</v>
      </c>
      <c r="GV69" s="4">
        <f t="shared" si="60"/>
        <v>0</v>
      </c>
      <c r="GW69" s="4">
        <f t="shared" si="60"/>
        <v>0</v>
      </c>
      <c r="GX69" s="4">
        <f t="shared" si="60"/>
        <v>0</v>
      </c>
    </row>
    <row r="71" spans="1:255" ht="12.75">
      <c r="A71" s="2">
        <v>17</v>
      </c>
      <c r="B71" s="2">
        <v>1</v>
      </c>
      <c r="C71" s="2">
        <f>ROW(SmtRes!A30)</f>
        <v>30</v>
      </c>
      <c r="D71" s="2">
        <f>ROW(EtalonRes!A34)</f>
        <v>34</v>
      </c>
      <c r="E71" s="2" t="s">
        <v>113</v>
      </c>
      <c r="F71" s="2" t="s">
        <v>114</v>
      </c>
      <c r="G71" s="2" t="s">
        <v>115</v>
      </c>
      <c r="H71" s="2" t="s">
        <v>24</v>
      </c>
      <c r="I71" s="2">
        <f>ROUND(ROUND(97/100,2),7)</f>
        <v>0.97</v>
      </c>
      <c r="J71" s="2">
        <v>0</v>
      </c>
      <c r="K71" s="2">
        <f>ROUND(ROUND(97/100,2),7)</f>
        <v>0.97</v>
      </c>
      <c r="L71" s="2"/>
      <c r="M71" s="2"/>
      <c r="N71" s="2"/>
      <c r="O71" s="2">
        <f aca="true" t="shared" si="61" ref="O71:O94">ROUND(CP71,2)</f>
        <v>500.06</v>
      </c>
      <c r="P71" s="2">
        <f aca="true" t="shared" si="62" ref="P71:P94">ROUND(CQ71*I71,2)</f>
        <v>35.57</v>
      </c>
      <c r="Q71" s="2">
        <f aca="true" t="shared" si="63" ref="Q71:Q94">ROUND(CR71*I71,2)</f>
        <v>230.29</v>
      </c>
      <c r="R71" s="2">
        <f aca="true" t="shared" si="64" ref="R71:R94">ROUND(CS71*I71,2)</f>
        <v>26.51</v>
      </c>
      <c r="S71" s="2">
        <f aca="true" t="shared" si="65" ref="S71:S94">ROUND(CT71*I71,2)</f>
        <v>234.2</v>
      </c>
      <c r="T71" s="2">
        <f aca="true" t="shared" si="66" ref="T71:T94">ROUND(CU71*I71,2)</f>
        <v>0</v>
      </c>
      <c r="U71" s="2">
        <f aca="true" t="shared" si="67" ref="U71:U94">CV71*I71</f>
        <v>27.10665</v>
      </c>
      <c r="V71" s="2">
        <f aca="true" t="shared" si="68" ref="V71:V94">CW71*I71</f>
        <v>2.3522499999999997</v>
      </c>
      <c r="W71" s="2">
        <f aca="true" t="shared" si="69" ref="W71:W94">ROUND(CX71*I71,2)</f>
        <v>0</v>
      </c>
      <c r="X71" s="2">
        <f aca="true" t="shared" si="70" ref="X71:X94">ROUND(CY71,2)</f>
        <v>255.76</v>
      </c>
      <c r="Y71" s="2">
        <f aca="true" t="shared" si="71" ref="Y71:Y94">ROUND(CZ71,2)</f>
        <v>126.31</v>
      </c>
      <c r="Z71" s="2"/>
      <c r="AA71" s="2">
        <v>55655398</v>
      </c>
      <c r="AB71" s="2">
        <f aca="true" t="shared" si="72" ref="AB71:AB94">ROUND((AC71+AD71+AF71),2)</f>
        <v>515.53</v>
      </c>
      <c r="AC71" s="2">
        <f>ROUND((ES71),2)</f>
        <v>36.67</v>
      </c>
      <c r="AD71" s="2">
        <f>ROUND(((((ET71*ROUND(1.25,7)))-((EU71*ROUND(1.25,7))))+AE71),2)</f>
        <v>237.42</v>
      </c>
      <c r="AE71" s="2">
        <f>ROUND(((EU71*ROUND(1.25,7))),2)</f>
        <v>27.33</v>
      </c>
      <c r="AF71" s="2">
        <f>ROUND(((EV71*ROUND(1.15,7))),2)</f>
        <v>241.44</v>
      </c>
      <c r="AG71" s="2">
        <f aca="true" t="shared" si="73" ref="AG71:AG94">ROUND((AP71),2)</f>
        <v>0</v>
      </c>
      <c r="AH71" s="2">
        <f>((EW71*ROUND(1.15,7)))</f>
        <v>27.945</v>
      </c>
      <c r="AI71" s="2">
        <f>((EX71*ROUND(1.25,7)))</f>
        <v>2.425</v>
      </c>
      <c r="AJ71" s="2">
        <f aca="true" t="shared" si="74" ref="AJ71:AJ94">(AS71)</f>
        <v>0</v>
      </c>
      <c r="AK71" s="2">
        <v>436.55</v>
      </c>
      <c r="AL71" s="2">
        <v>36.67</v>
      </c>
      <c r="AM71" s="2">
        <v>189.93</v>
      </c>
      <c r="AN71" s="2">
        <v>21.86</v>
      </c>
      <c r="AO71" s="2">
        <v>209.95</v>
      </c>
      <c r="AP71" s="2">
        <v>0</v>
      </c>
      <c r="AQ71" s="2">
        <v>24.3</v>
      </c>
      <c r="AR71" s="2">
        <v>1.94</v>
      </c>
      <c r="AS71" s="2">
        <v>0</v>
      </c>
      <c r="AT71" s="2">
        <v>98.1</v>
      </c>
      <c r="AU71" s="2">
        <v>48.45</v>
      </c>
      <c r="AV71" s="2">
        <v>1</v>
      </c>
      <c r="AW71" s="2">
        <v>1</v>
      </c>
      <c r="AX71" s="2"/>
      <c r="AY71" s="2"/>
      <c r="AZ71" s="2">
        <v>1</v>
      </c>
      <c r="BA71" s="2">
        <v>1</v>
      </c>
      <c r="BB71" s="2">
        <v>1</v>
      </c>
      <c r="BC71" s="2">
        <v>1</v>
      </c>
      <c r="BD71" s="2" t="s">
        <v>3</v>
      </c>
      <c r="BE71" s="2" t="s">
        <v>3</v>
      </c>
      <c r="BF71" s="2" t="s">
        <v>3</v>
      </c>
      <c r="BG71" s="2" t="s">
        <v>3</v>
      </c>
      <c r="BH71" s="2">
        <v>0</v>
      </c>
      <c r="BI71" s="2">
        <v>1</v>
      </c>
      <c r="BJ71" s="2" t="s">
        <v>116</v>
      </c>
      <c r="BK71" s="2"/>
      <c r="BL71" s="2"/>
      <c r="BM71" s="2">
        <v>12001</v>
      </c>
      <c r="BN71" s="2">
        <v>0</v>
      </c>
      <c r="BO71" s="2" t="s">
        <v>3</v>
      </c>
      <c r="BP71" s="2">
        <v>0</v>
      </c>
      <c r="BQ71" s="2">
        <v>2</v>
      </c>
      <c r="BR71" s="2">
        <v>0</v>
      </c>
      <c r="BS71" s="2">
        <v>1</v>
      </c>
      <c r="BT71" s="2">
        <v>1</v>
      </c>
      <c r="BU71" s="2">
        <v>1</v>
      </c>
      <c r="BV71" s="2">
        <v>1</v>
      </c>
      <c r="BW71" s="2">
        <v>1</v>
      </c>
      <c r="BX71" s="2">
        <v>1</v>
      </c>
      <c r="BY71" s="2" t="s">
        <v>3</v>
      </c>
      <c r="BZ71" s="2">
        <v>109</v>
      </c>
      <c r="CA71" s="2">
        <v>57</v>
      </c>
      <c r="CB71" s="2" t="s">
        <v>3</v>
      </c>
      <c r="CC71" s="2"/>
      <c r="CD71" s="2"/>
      <c r="CE71" s="2">
        <v>0</v>
      </c>
      <c r="CF71" s="2">
        <v>0</v>
      </c>
      <c r="CG71" s="2">
        <v>0</v>
      </c>
      <c r="CH71" s="2"/>
      <c r="CI71" s="2"/>
      <c r="CJ71" s="2"/>
      <c r="CK71" s="2"/>
      <c r="CL71" s="2"/>
      <c r="CM71" s="2">
        <v>0</v>
      </c>
      <c r="CN71" s="2" t="s">
        <v>350</v>
      </c>
      <c r="CO71" s="2">
        <v>0</v>
      </c>
      <c r="CP71" s="2">
        <f aca="true" t="shared" si="75" ref="CP71:CP94">(P71+Q71+S71)</f>
        <v>500.06</v>
      </c>
      <c r="CQ71" s="2">
        <f aca="true" t="shared" si="76" ref="CQ71:CQ94">AC71*BC71</f>
        <v>36.67</v>
      </c>
      <c r="CR71" s="2">
        <f>((((ET71*ROUND(1.25,7)))*BB71-((EU71*ROUND(1.25,7)))*BS71)+AE71*BS71)</f>
        <v>237.41750000000002</v>
      </c>
      <c r="CS71" s="2">
        <f aca="true" t="shared" si="77" ref="CS71:CS94">AE71*BS71</f>
        <v>27.33</v>
      </c>
      <c r="CT71" s="2">
        <f aca="true" t="shared" si="78" ref="CT71:CT94">AF71*BA71</f>
        <v>241.44</v>
      </c>
      <c r="CU71" s="2">
        <f aca="true" t="shared" si="79" ref="CU71:CU94">AG71</f>
        <v>0</v>
      </c>
      <c r="CV71" s="2">
        <f aca="true" t="shared" si="80" ref="CV71:CV94">AH71</f>
        <v>27.945</v>
      </c>
      <c r="CW71" s="2">
        <f aca="true" t="shared" si="81" ref="CW71:CW94">AI71</f>
        <v>2.425</v>
      </c>
      <c r="CX71" s="2">
        <f aca="true" t="shared" si="82" ref="CX71:CX94">AJ71</f>
        <v>0</v>
      </c>
      <c r="CY71" s="2">
        <f aca="true" t="shared" si="83" ref="CY71:CY94">(((S71+R71)*AT71)/100)</f>
        <v>255.75651</v>
      </c>
      <c r="CZ71" s="2">
        <f aca="true" t="shared" si="84" ref="CZ71:CZ94">(((S71+R71)*AU71)/100)</f>
        <v>126.31399499999999</v>
      </c>
      <c r="DA71" s="2"/>
      <c r="DB71" s="2"/>
      <c r="DC71" s="2" t="s">
        <v>3</v>
      </c>
      <c r="DD71" s="2" t="s">
        <v>3</v>
      </c>
      <c r="DE71" s="2" t="s">
        <v>117</v>
      </c>
      <c r="DF71" s="2" t="s">
        <v>117</v>
      </c>
      <c r="DG71" s="2" t="s">
        <v>118</v>
      </c>
      <c r="DH71" s="2" t="s">
        <v>3</v>
      </c>
      <c r="DI71" s="2" t="s">
        <v>118</v>
      </c>
      <c r="DJ71" s="2" t="s">
        <v>117</v>
      </c>
      <c r="DK71" s="2" t="s">
        <v>3</v>
      </c>
      <c r="DL71" s="2" t="s">
        <v>119</v>
      </c>
      <c r="DM71" s="2" t="s">
        <v>120</v>
      </c>
      <c r="DN71" s="2">
        <v>0</v>
      </c>
      <c r="DO71" s="2">
        <v>0</v>
      </c>
      <c r="DP71" s="2">
        <v>1</v>
      </c>
      <c r="DQ71" s="2">
        <v>1</v>
      </c>
      <c r="DR71" s="2"/>
      <c r="DS71" s="2"/>
      <c r="DT71" s="2"/>
      <c r="DU71" s="2">
        <v>1005</v>
      </c>
      <c r="DV71" s="2" t="s">
        <v>24</v>
      </c>
      <c r="DW71" s="2" t="s">
        <v>24</v>
      </c>
      <c r="DX71" s="2">
        <v>100</v>
      </c>
      <c r="DY71" s="2"/>
      <c r="DZ71" s="2" t="s">
        <v>3</v>
      </c>
      <c r="EA71" s="2" t="s">
        <v>3</v>
      </c>
      <c r="EB71" s="2" t="s">
        <v>3</v>
      </c>
      <c r="EC71" s="2" t="s">
        <v>3</v>
      </c>
      <c r="ED71" s="2"/>
      <c r="EE71" s="2">
        <v>55471665</v>
      </c>
      <c r="EF71" s="2">
        <v>2</v>
      </c>
      <c r="EG71" s="2" t="s">
        <v>28</v>
      </c>
      <c r="EH71" s="2">
        <v>12</v>
      </c>
      <c r="EI71" s="2" t="s">
        <v>121</v>
      </c>
      <c r="EJ71" s="2">
        <v>1</v>
      </c>
      <c r="EK71" s="2">
        <v>12001</v>
      </c>
      <c r="EL71" s="2" t="s">
        <v>121</v>
      </c>
      <c r="EM71" s="2" t="s">
        <v>122</v>
      </c>
      <c r="EN71" s="2"/>
      <c r="EO71" s="2" t="s">
        <v>123</v>
      </c>
      <c r="EP71" s="2"/>
      <c r="EQ71" s="2">
        <v>0</v>
      </c>
      <c r="ER71" s="2">
        <v>436.55</v>
      </c>
      <c r="ES71" s="2">
        <v>36.67</v>
      </c>
      <c r="ET71" s="2">
        <v>189.93</v>
      </c>
      <c r="EU71" s="2">
        <v>21.86</v>
      </c>
      <c r="EV71" s="2">
        <v>209.95</v>
      </c>
      <c r="EW71" s="2">
        <v>24.3</v>
      </c>
      <c r="EX71" s="2">
        <v>1.94</v>
      </c>
      <c r="EY71" s="2">
        <v>0</v>
      </c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>
        <v>0</v>
      </c>
      <c r="FR71" s="2">
        <f aca="true" t="shared" si="85" ref="FR71:FR94">ROUND(IF(AND(BH71=3,BI71=3),P71,0),2)</f>
        <v>0</v>
      </c>
      <c r="FS71" s="2">
        <v>0</v>
      </c>
      <c r="FT71" s="2"/>
      <c r="FU71" s="2"/>
      <c r="FV71" s="2"/>
      <c r="FW71" s="2"/>
      <c r="FX71" s="2">
        <v>98.1</v>
      </c>
      <c r="FY71" s="2">
        <v>48.45</v>
      </c>
      <c r="FZ71" s="2"/>
      <c r="GA71" s="2" t="s">
        <v>3</v>
      </c>
      <c r="GB71" s="2"/>
      <c r="GC71" s="2"/>
      <c r="GD71" s="2">
        <v>1</v>
      </c>
      <c r="GE71" s="2"/>
      <c r="GF71" s="2">
        <v>-1131866763</v>
      </c>
      <c r="GG71" s="2">
        <v>2</v>
      </c>
      <c r="GH71" s="2">
        <v>1</v>
      </c>
      <c r="GI71" s="2">
        <v>-2</v>
      </c>
      <c r="GJ71" s="2">
        <v>0</v>
      </c>
      <c r="GK71" s="2">
        <v>0</v>
      </c>
      <c r="GL71" s="2">
        <f aca="true" t="shared" si="86" ref="GL71:GL94">ROUND(IF(AND(BH71=3,BI71=3,FS71&lt;&gt;0),P71,0),2)</f>
        <v>0</v>
      </c>
      <c r="GM71" s="2">
        <f aca="true" t="shared" si="87" ref="GM71:GM94">ROUND(O71+X71+Y71,2)+GX71</f>
        <v>882.13</v>
      </c>
      <c r="GN71" s="2">
        <f aca="true" t="shared" si="88" ref="GN71:GN94">IF(OR(BI71=0,BI71=1),ROUND(O71+X71+Y71,2),0)</f>
        <v>882.13</v>
      </c>
      <c r="GO71" s="2">
        <f aca="true" t="shared" si="89" ref="GO71:GO94">IF(BI71=2,ROUND(O71+X71+Y71,2),0)</f>
        <v>0</v>
      </c>
      <c r="GP71" s="2">
        <f aca="true" t="shared" si="90" ref="GP71:GP94">IF(BI71=4,ROUND(O71+X71+Y71,2)+GX71,0)</f>
        <v>0</v>
      </c>
      <c r="GQ71" s="2"/>
      <c r="GR71" s="2">
        <v>0</v>
      </c>
      <c r="GS71" s="2">
        <v>0</v>
      </c>
      <c r="GT71" s="2">
        <v>0</v>
      </c>
      <c r="GU71" s="2" t="s">
        <v>3</v>
      </c>
      <c r="GV71" s="2">
        <f aca="true" t="shared" si="91" ref="GV71:GV94">ROUND((GT71),2)</f>
        <v>0</v>
      </c>
      <c r="GW71" s="2">
        <v>1</v>
      </c>
      <c r="GX71" s="2">
        <f aca="true" t="shared" si="92" ref="GX71:GX94">ROUND(HC71*I71,2)</f>
        <v>0</v>
      </c>
      <c r="GY71" s="2"/>
      <c r="GZ71" s="2"/>
      <c r="HA71" s="2">
        <v>0</v>
      </c>
      <c r="HB71" s="2">
        <v>0</v>
      </c>
      <c r="HC71" s="2">
        <f aca="true" t="shared" si="93" ref="HC71:HC94">GV71*GW71</f>
        <v>0</v>
      </c>
      <c r="HD71" s="2"/>
      <c r="HE71" s="2" t="s">
        <v>3</v>
      </c>
      <c r="HF71" s="2" t="s">
        <v>3</v>
      </c>
      <c r="HG71" s="2"/>
      <c r="HH71" s="2"/>
      <c r="HI71" s="2"/>
      <c r="HJ71" s="2"/>
      <c r="HK71" s="2"/>
      <c r="HL71" s="2"/>
      <c r="HM71" s="2" t="s">
        <v>3</v>
      </c>
      <c r="HN71" s="2" t="s">
        <v>124</v>
      </c>
      <c r="HO71" s="2" t="s">
        <v>125</v>
      </c>
      <c r="HP71" s="2" t="s">
        <v>121</v>
      </c>
      <c r="HQ71" s="2" t="s">
        <v>121</v>
      </c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>
        <v>0</v>
      </c>
      <c r="IL71" s="2"/>
      <c r="IM71" s="2"/>
      <c r="IN71" s="2"/>
      <c r="IO71" s="2"/>
      <c r="IP71" s="2"/>
      <c r="IQ71" s="2"/>
      <c r="IR71" s="2"/>
      <c r="IS71" s="2"/>
      <c r="IT71" s="2"/>
      <c r="IU71" s="2"/>
    </row>
    <row r="72" spans="1:245" ht="12.75">
      <c r="A72">
        <v>17</v>
      </c>
      <c r="B72">
        <v>1</v>
      </c>
      <c r="C72">
        <f>ROW(SmtRes!A38)</f>
        <v>38</v>
      </c>
      <c r="D72">
        <f>ROW(EtalonRes!A42)</f>
        <v>42</v>
      </c>
      <c r="E72" t="s">
        <v>113</v>
      </c>
      <c r="F72" t="s">
        <v>114</v>
      </c>
      <c r="G72" t="s">
        <v>115</v>
      </c>
      <c r="H72" t="s">
        <v>24</v>
      </c>
      <c r="I72">
        <f>ROUND(ROUND(97/100,2),7)</f>
        <v>0.97</v>
      </c>
      <c r="J72">
        <v>0</v>
      </c>
      <c r="K72">
        <f>ROUND(ROUND(97/100,2),7)</f>
        <v>0.97</v>
      </c>
      <c r="O72">
        <f t="shared" si="61"/>
        <v>12033.16</v>
      </c>
      <c r="P72">
        <f t="shared" si="62"/>
        <v>239.03</v>
      </c>
      <c r="Q72">
        <f t="shared" si="63"/>
        <v>3049.22</v>
      </c>
      <c r="R72">
        <f t="shared" si="64"/>
        <v>989.89</v>
      </c>
      <c r="S72">
        <f t="shared" si="65"/>
        <v>8744.91</v>
      </c>
      <c r="T72">
        <f t="shared" si="66"/>
        <v>0</v>
      </c>
      <c r="U72">
        <f t="shared" si="67"/>
        <v>27.10665</v>
      </c>
      <c r="V72">
        <f t="shared" si="68"/>
        <v>2.3522499999999997</v>
      </c>
      <c r="W72">
        <f t="shared" si="69"/>
        <v>0</v>
      </c>
      <c r="X72">
        <f t="shared" si="70"/>
        <v>9549.84</v>
      </c>
      <c r="Y72">
        <f t="shared" si="71"/>
        <v>4716.51</v>
      </c>
      <c r="AA72">
        <v>55655399</v>
      </c>
      <c r="AB72">
        <f t="shared" si="72"/>
        <v>515.53</v>
      </c>
      <c r="AC72">
        <f>ROUND((ES72),2)</f>
        <v>36.67</v>
      </c>
      <c r="AD72">
        <f>ROUND(((((ET72*ROUND(1.25,7)))-((EU72*ROUND(1.25,7))))+AE72),2)</f>
        <v>237.42</v>
      </c>
      <c r="AE72">
        <f>ROUND(((EU72*ROUND(1.25,7))),2)</f>
        <v>27.33</v>
      </c>
      <c r="AF72">
        <f>ROUND(((EV72*ROUND(1.15,7))),2)</f>
        <v>241.44</v>
      </c>
      <c r="AG72">
        <f t="shared" si="73"/>
        <v>0</v>
      </c>
      <c r="AH72">
        <f>((EW72*ROUND(1.15,7)))</f>
        <v>27.945</v>
      </c>
      <c r="AI72">
        <f>((EX72*ROUND(1.25,7)))</f>
        <v>2.425</v>
      </c>
      <c r="AJ72">
        <f t="shared" si="74"/>
        <v>0</v>
      </c>
      <c r="AK72">
        <v>436.55</v>
      </c>
      <c r="AL72">
        <v>36.67</v>
      </c>
      <c r="AM72">
        <v>189.93</v>
      </c>
      <c r="AN72">
        <v>21.86</v>
      </c>
      <c r="AO72">
        <v>209.95</v>
      </c>
      <c r="AP72">
        <v>0</v>
      </c>
      <c r="AQ72">
        <v>24.3</v>
      </c>
      <c r="AR72">
        <v>1.94</v>
      </c>
      <c r="AS72">
        <v>0</v>
      </c>
      <c r="AT72">
        <v>98.1</v>
      </c>
      <c r="AU72">
        <v>48.45</v>
      </c>
      <c r="AV72">
        <v>1</v>
      </c>
      <c r="AW72">
        <v>1</v>
      </c>
      <c r="AZ72">
        <v>1</v>
      </c>
      <c r="BA72">
        <v>37.34</v>
      </c>
      <c r="BB72">
        <v>13.24</v>
      </c>
      <c r="BC72">
        <v>6.72</v>
      </c>
      <c r="BH72">
        <v>0</v>
      </c>
      <c r="BI72">
        <v>1</v>
      </c>
      <c r="BJ72" t="s">
        <v>116</v>
      </c>
      <c r="BM72">
        <v>12001</v>
      </c>
      <c r="BN72">
        <v>0</v>
      </c>
      <c r="BO72" t="s">
        <v>34</v>
      </c>
      <c r="BP72">
        <v>1</v>
      </c>
      <c r="BQ72">
        <v>2</v>
      </c>
      <c r="BR72">
        <v>0</v>
      </c>
      <c r="BS72">
        <v>37.34</v>
      </c>
      <c r="BT72">
        <v>1</v>
      </c>
      <c r="BU72">
        <v>1</v>
      </c>
      <c r="BV72">
        <v>1</v>
      </c>
      <c r="BW72">
        <v>1</v>
      </c>
      <c r="BX72">
        <v>1</v>
      </c>
      <c r="BZ72">
        <v>109</v>
      </c>
      <c r="CA72">
        <v>57</v>
      </c>
      <c r="CE72">
        <v>0</v>
      </c>
      <c r="CF72">
        <v>0</v>
      </c>
      <c r="CG72">
        <v>0</v>
      </c>
      <c r="CM72">
        <v>0</v>
      </c>
      <c r="CN72" t="s">
        <v>350</v>
      </c>
      <c r="CO72">
        <v>0</v>
      </c>
      <c r="CP72">
        <f t="shared" si="75"/>
        <v>12033.16</v>
      </c>
      <c r="CQ72">
        <f t="shared" si="76"/>
        <v>246.4224</v>
      </c>
      <c r="CR72">
        <f>((((ET72*ROUND(1.25,7)))*BB72-((EU72*ROUND(1.25,7)))*BS72)+AE72*BS72)</f>
        <v>3143.5282</v>
      </c>
      <c r="CS72">
        <f t="shared" si="77"/>
        <v>1020.5022</v>
      </c>
      <c r="CT72">
        <f t="shared" si="78"/>
        <v>9015.3696</v>
      </c>
      <c r="CU72">
        <f t="shared" si="79"/>
        <v>0</v>
      </c>
      <c r="CV72">
        <f t="shared" si="80"/>
        <v>27.945</v>
      </c>
      <c r="CW72">
        <f t="shared" si="81"/>
        <v>2.425</v>
      </c>
      <c r="CX72">
        <f t="shared" si="82"/>
        <v>0</v>
      </c>
      <c r="CY72">
        <f t="shared" si="83"/>
        <v>9549.8388</v>
      </c>
      <c r="CZ72">
        <f t="shared" si="84"/>
        <v>4716.5106</v>
      </c>
      <c r="DE72" t="s">
        <v>117</v>
      </c>
      <c r="DF72" t="s">
        <v>117</v>
      </c>
      <c r="DG72" t="s">
        <v>118</v>
      </c>
      <c r="DI72" t="s">
        <v>118</v>
      </c>
      <c r="DJ72" t="s">
        <v>117</v>
      </c>
      <c r="DL72" t="s">
        <v>119</v>
      </c>
      <c r="DM72" t="s">
        <v>120</v>
      </c>
      <c r="DN72">
        <v>0</v>
      </c>
      <c r="DO72">
        <v>0</v>
      </c>
      <c r="DP72">
        <v>1</v>
      </c>
      <c r="DQ72">
        <v>1</v>
      </c>
      <c r="DU72">
        <v>1005</v>
      </c>
      <c r="DV72" t="s">
        <v>24</v>
      </c>
      <c r="DW72" t="s">
        <v>24</v>
      </c>
      <c r="DX72">
        <v>100</v>
      </c>
      <c r="EE72">
        <v>55471665</v>
      </c>
      <c r="EF72">
        <v>2</v>
      </c>
      <c r="EG72" t="s">
        <v>28</v>
      </c>
      <c r="EH72">
        <v>12</v>
      </c>
      <c r="EI72" t="s">
        <v>121</v>
      </c>
      <c r="EJ72">
        <v>1</v>
      </c>
      <c r="EK72">
        <v>12001</v>
      </c>
      <c r="EL72" t="s">
        <v>121</v>
      </c>
      <c r="EM72" t="s">
        <v>122</v>
      </c>
      <c r="EO72" t="s">
        <v>123</v>
      </c>
      <c r="EQ72">
        <v>0</v>
      </c>
      <c r="ER72">
        <v>436.55</v>
      </c>
      <c r="ES72">
        <v>36.67</v>
      </c>
      <c r="ET72">
        <v>189.93</v>
      </c>
      <c r="EU72">
        <v>21.86</v>
      </c>
      <c r="EV72">
        <v>209.95</v>
      </c>
      <c r="EW72">
        <v>24.3</v>
      </c>
      <c r="EX72">
        <v>1.94</v>
      </c>
      <c r="EY72">
        <v>0</v>
      </c>
      <c r="FQ72">
        <v>0</v>
      </c>
      <c r="FR72">
        <f t="shared" si="85"/>
        <v>0</v>
      </c>
      <c r="FS72">
        <v>0</v>
      </c>
      <c r="FX72">
        <v>98.1</v>
      </c>
      <c r="FY72">
        <v>48.45</v>
      </c>
      <c r="GD72">
        <v>1</v>
      </c>
      <c r="GF72">
        <v>-1131866763</v>
      </c>
      <c r="GG72">
        <v>2</v>
      </c>
      <c r="GH72">
        <v>1</v>
      </c>
      <c r="GI72">
        <v>4</v>
      </c>
      <c r="GJ72">
        <v>0</v>
      </c>
      <c r="GK72">
        <v>0</v>
      </c>
      <c r="GL72">
        <f t="shared" si="86"/>
        <v>0</v>
      </c>
      <c r="GM72">
        <f t="shared" si="87"/>
        <v>26299.51</v>
      </c>
      <c r="GN72">
        <f t="shared" si="88"/>
        <v>26299.51</v>
      </c>
      <c r="GO72">
        <f t="shared" si="89"/>
        <v>0</v>
      </c>
      <c r="GP72">
        <f t="shared" si="90"/>
        <v>0</v>
      </c>
      <c r="GR72">
        <v>0</v>
      </c>
      <c r="GS72">
        <v>0</v>
      </c>
      <c r="GT72">
        <v>0</v>
      </c>
      <c r="GV72">
        <f t="shared" si="91"/>
        <v>0</v>
      </c>
      <c r="GW72">
        <v>1</v>
      </c>
      <c r="GX72">
        <f t="shared" si="92"/>
        <v>0</v>
      </c>
      <c r="HA72">
        <v>0</v>
      </c>
      <c r="HB72">
        <v>0</v>
      </c>
      <c r="HC72">
        <f t="shared" si="93"/>
        <v>0</v>
      </c>
      <c r="HN72" t="s">
        <v>124</v>
      </c>
      <c r="HO72" t="s">
        <v>125</v>
      </c>
      <c r="HP72" t="s">
        <v>121</v>
      </c>
      <c r="HQ72" t="s">
        <v>121</v>
      </c>
      <c r="IK72">
        <v>0</v>
      </c>
    </row>
    <row r="73" spans="1:255" ht="12.75">
      <c r="A73" s="2">
        <v>18</v>
      </c>
      <c r="B73" s="2">
        <v>1</v>
      </c>
      <c r="C73" s="2">
        <v>29</v>
      </c>
      <c r="D73" s="2"/>
      <c r="E73" s="2" t="s">
        <v>126</v>
      </c>
      <c r="F73" s="2" t="s">
        <v>127</v>
      </c>
      <c r="G73" s="2" t="s">
        <v>128</v>
      </c>
      <c r="H73" s="2" t="s">
        <v>129</v>
      </c>
      <c r="I73" s="2">
        <f>I71*J73</f>
        <v>2.626727</v>
      </c>
      <c r="J73" s="2">
        <v>2.7079659793814432</v>
      </c>
      <c r="K73" s="2">
        <v>2.707966</v>
      </c>
      <c r="L73" s="2"/>
      <c r="M73" s="2"/>
      <c r="N73" s="2"/>
      <c r="O73" s="2">
        <f t="shared" si="61"/>
        <v>3265.15</v>
      </c>
      <c r="P73" s="2">
        <f t="shared" si="62"/>
        <v>3265.15</v>
      </c>
      <c r="Q73" s="2">
        <f t="shared" si="63"/>
        <v>0</v>
      </c>
      <c r="R73" s="2">
        <f t="shared" si="64"/>
        <v>0</v>
      </c>
      <c r="S73" s="2">
        <f t="shared" si="65"/>
        <v>0</v>
      </c>
      <c r="T73" s="2">
        <f t="shared" si="66"/>
        <v>0</v>
      </c>
      <c r="U73" s="2">
        <f t="shared" si="67"/>
        <v>0</v>
      </c>
      <c r="V73" s="2">
        <f t="shared" si="68"/>
        <v>0</v>
      </c>
      <c r="W73" s="2">
        <f t="shared" si="69"/>
        <v>0</v>
      </c>
      <c r="X73" s="2">
        <f t="shared" si="70"/>
        <v>0</v>
      </c>
      <c r="Y73" s="2">
        <f t="shared" si="71"/>
        <v>0</v>
      </c>
      <c r="Z73" s="2"/>
      <c r="AA73" s="2">
        <v>55655398</v>
      </c>
      <c r="AB73" s="2">
        <f t="shared" si="72"/>
        <v>1243.05</v>
      </c>
      <c r="AC73" s="2">
        <f>ROUND((ES73),2)</f>
        <v>1243.05</v>
      </c>
      <c r="AD73" s="2">
        <f>ROUND((((ET73)-(EU73))+AE73),2)</f>
        <v>0</v>
      </c>
      <c r="AE73" s="2">
        <f>ROUND((EU73),2)</f>
        <v>0</v>
      </c>
      <c r="AF73" s="2">
        <f>ROUND((EV73),2)</f>
        <v>0</v>
      </c>
      <c r="AG73" s="2">
        <f t="shared" si="73"/>
        <v>0</v>
      </c>
      <c r="AH73" s="2">
        <f>(EW73)</f>
        <v>0</v>
      </c>
      <c r="AI73" s="2">
        <f>(EX73)</f>
        <v>0</v>
      </c>
      <c r="AJ73" s="2">
        <f t="shared" si="74"/>
        <v>0</v>
      </c>
      <c r="AK73" s="2">
        <v>1243.05</v>
      </c>
      <c r="AL73" s="2">
        <v>1243.05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109</v>
      </c>
      <c r="AU73" s="2">
        <v>57</v>
      </c>
      <c r="AV73" s="2">
        <v>1</v>
      </c>
      <c r="AW73" s="2">
        <v>1</v>
      </c>
      <c r="AX73" s="2"/>
      <c r="AY73" s="2"/>
      <c r="AZ73" s="2">
        <v>1</v>
      </c>
      <c r="BA73" s="2">
        <v>1</v>
      </c>
      <c r="BB73" s="2">
        <v>1</v>
      </c>
      <c r="BC73" s="2">
        <v>1</v>
      </c>
      <c r="BD73" s="2" t="s">
        <v>3</v>
      </c>
      <c r="BE73" s="2" t="s">
        <v>3</v>
      </c>
      <c r="BF73" s="2" t="s">
        <v>3</v>
      </c>
      <c r="BG73" s="2" t="s">
        <v>3</v>
      </c>
      <c r="BH73" s="2">
        <v>3</v>
      </c>
      <c r="BI73" s="2">
        <v>1</v>
      </c>
      <c r="BJ73" s="2" t="s">
        <v>130</v>
      </c>
      <c r="BK73" s="2"/>
      <c r="BL73" s="2"/>
      <c r="BM73" s="2">
        <v>12001</v>
      </c>
      <c r="BN73" s="2">
        <v>0</v>
      </c>
      <c r="BO73" s="2" t="s">
        <v>3</v>
      </c>
      <c r="BP73" s="2">
        <v>0</v>
      </c>
      <c r="BQ73" s="2">
        <v>2</v>
      </c>
      <c r="BR73" s="2">
        <v>0</v>
      </c>
      <c r="BS73" s="2">
        <v>1</v>
      </c>
      <c r="BT73" s="2">
        <v>1</v>
      </c>
      <c r="BU73" s="2">
        <v>1</v>
      </c>
      <c r="BV73" s="2">
        <v>1</v>
      </c>
      <c r="BW73" s="2">
        <v>1</v>
      </c>
      <c r="BX73" s="2">
        <v>1</v>
      </c>
      <c r="BY73" s="2" t="s">
        <v>3</v>
      </c>
      <c r="BZ73" s="2">
        <v>109</v>
      </c>
      <c r="CA73" s="2">
        <v>57</v>
      </c>
      <c r="CB73" s="2" t="s">
        <v>3</v>
      </c>
      <c r="CC73" s="2"/>
      <c r="CD73" s="2"/>
      <c r="CE73" s="2">
        <v>0</v>
      </c>
      <c r="CF73" s="2">
        <v>0</v>
      </c>
      <c r="CG73" s="2">
        <v>0</v>
      </c>
      <c r="CH73" s="2"/>
      <c r="CI73" s="2"/>
      <c r="CJ73" s="2"/>
      <c r="CK73" s="2"/>
      <c r="CL73" s="2"/>
      <c r="CM73" s="2">
        <v>0</v>
      </c>
      <c r="CN73" s="2" t="s">
        <v>3</v>
      </c>
      <c r="CO73" s="2">
        <v>0</v>
      </c>
      <c r="CP73" s="2">
        <f t="shared" si="75"/>
        <v>3265.15</v>
      </c>
      <c r="CQ73" s="2">
        <f t="shared" si="76"/>
        <v>1243.05</v>
      </c>
      <c r="CR73" s="2">
        <f>(((ET73)*BB73-(EU73)*BS73)+AE73*BS73)</f>
        <v>0</v>
      </c>
      <c r="CS73" s="2">
        <f t="shared" si="77"/>
        <v>0</v>
      </c>
      <c r="CT73" s="2">
        <f t="shared" si="78"/>
        <v>0</v>
      </c>
      <c r="CU73" s="2">
        <f t="shared" si="79"/>
        <v>0</v>
      </c>
      <c r="CV73" s="2">
        <f t="shared" si="80"/>
        <v>0</v>
      </c>
      <c r="CW73" s="2">
        <f t="shared" si="81"/>
        <v>0</v>
      </c>
      <c r="CX73" s="2">
        <f t="shared" si="82"/>
        <v>0</v>
      </c>
      <c r="CY73" s="2">
        <f t="shared" si="83"/>
        <v>0</v>
      </c>
      <c r="CZ73" s="2">
        <f t="shared" si="84"/>
        <v>0</v>
      </c>
      <c r="DA73" s="2"/>
      <c r="DB73" s="2"/>
      <c r="DC73" s="2" t="s">
        <v>3</v>
      </c>
      <c r="DD73" s="2" t="s">
        <v>3</v>
      </c>
      <c r="DE73" s="2" t="s">
        <v>3</v>
      </c>
      <c r="DF73" s="2" t="s">
        <v>3</v>
      </c>
      <c r="DG73" s="2" t="s">
        <v>3</v>
      </c>
      <c r="DH73" s="2" t="s">
        <v>3</v>
      </c>
      <c r="DI73" s="2" t="s">
        <v>3</v>
      </c>
      <c r="DJ73" s="2" t="s">
        <v>3</v>
      </c>
      <c r="DK73" s="2" t="s">
        <v>3</v>
      </c>
      <c r="DL73" s="2" t="s">
        <v>3</v>
      </c>
      <c r="DM73" s="2" t="s">
        <v>3</v>
      </c>
      <c r="DN73" s="2">
        <v>0</v>
      </c>
      <c r="DO73" s="2">
        <v>0</v>
      </c>
      <c r="DP73" s="2">
        <v>1</v>
      </c>
      <c r="DQ73" s="2">
        <v>1</v>
      </c>
      <c r="DR73" s="2"/>
      <c r="DS73" s="2"/>
      <c r="DT73" s="2"/>
      <c r="DU73" s="2">
        <v>1009</v>
      </c>
      <c r="DV73" s="2" t="s">
        <v>129</v>
      </c>
      <c r="DW73" s="2" t="s">
        <v>129</v>
      </c>
      <c r="DX73" s="2">
        <v>1000</v>
      </c>
      <c r="DY73" s="2"/>
      <c r="DZ73" s="2" t="s">
        <v>3</v>
      </c>
      <c r="EA73" s="2" t="s">
        <v>3</v>
      </c>
      <c r="EB73" s="2" t="s">
        <v>3</v>
      </c>
      <c r="EC73" s="2" t="s">
        <v>3</v>
      </c>
      <c r="ED73" s="2"/>
      <c r="EE73" s="2">
        <v>55471665</v>
      </c>
      <c r="EF73" s="2">
        <v>2</v>
      </c>
      <c r="EG73" s="2" t="s">
        <v>28</v>
      </c>
      <c r="EH73" s="2">
        <v>12</v>
      </c>
      <c r="EI73" s="2" t="s">
        <v>121</v>
      </c>
      <c r="EJ73" s="2">
        <v>1</v>
      </c>
      <c r="EK73" s="2">
        <v>12001</v>
      </c>
      <c r="EL73" s="2" t="s">
        <v>121</v>
      </c>
      <c r="EM73" s="2" t="s">
        <v>122</v>
      </c>
      <c r="EN73" s="2"/>
      <c r="EO73" s="2" t="s">
        <v>3</v>
      </c>
      <c r="EP73" s="2"/>
      <c r="EQ73" s="2">
        <v>0</v>
      </c>
      <c r="ER73" s="2">
        <v>1243.05</v>
      </c>
      <c r="ES73" s="2">
        <v>1243.05</v>
      </c>
      <c r="ET73" s="2">
        <v>0</v>
      </c>
      <c r="EU73" s="2">
        <v>0</v>
      </c>
      <c r="EV73" s="2">
        <v>0</v>
      </c>
      <c r="EW73" s="2">
        <v>0</v>
      </c>
      <c r="EX73" s="2">
        <v>0</v>
      </c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>
        <v>0</v>
      </c>
      <c r="FR73" s="2">
        <f t="shared" si="85"/>
        <v>0</v>
      </c>
      <c r="FS73" s="2">
        <v>0</v>
      </c>
      <c r="FT73" s="2"/>
      <c r="FU73" s="2"/>
      <c r="FV73" s="2"/>
      <c r="FW73" s="2"/>
      <c r="FX73" s="2">
        <v>109</v>
      </c>
      <c r="FY73" s="2">
        <v>57</v>
      </c>
      <c r="FZ73" s="2"/>
      <c r="GA73" s="2" t="s">
        <v>3</v>
      </c>
      <c r="GB73" s="2"/>
      <c r="GC73" s="2"/>
      <c r="GD73" s="2">
        <v>1</v>
      </c>
      <c r="GE73" s="2"/>
      <c r="GF73" s="2">
        <v>-1961211957</v>
      </c>
      <c r="GG73" s="2">
        <v>2</v>
      </c>
      <c r="GH73" s="2">
        <v>1</v>
      </c>
      <c r="GI73" s="2">
        <v>-2</v>
      </c>
      <c r="GJ73" s="2">
        <v>0</v>
      </c>
      <c r="GK73" s="2">
        <v>0</v>
      </c>
      <c r="GL73" s="2">
        <f t="shared" si="86"/>
        <v>0</v>
      </c>
      <c r="GM73" s="2">
        <f t="shared" si="87"/>
        <v>3265.15</v>
      </c>
      <c r="GN73" s="2">
        <f t="shared" si="88"/>
        <v>3265.15</v>
      </c>
      <c r="GO73" s="2">
        <f t="shared" si="89"/>
        <v>0</v>
      </c>
      <c r="GP73" s="2">
        <f t="shared" si="90"/>
        <v>0</v>
      </c>
      <c r="GQ73" s="2"/>
      <c r="GR73" s="2">
        <v>0</v>
      </c>
      <c r="GS73" s="2">
        <v>0</v>
      </c>
      <c r="GT73" s="2">
        <v>0</v>
      </c>
      <c r="GU73" s="2" t="s">
        <v>3</v>
      </c>
      <c r="GV73" s="2">
        <f t="shared" si="91"/>
        <v>0</v>
      </c>
      <c r="GW73" s="2">
        <v>1</v>
      </c>
      <c r="GX73" s="2">
        <f t="shared" si="92"/>
        <v>0</v>
      </c>
      <c r="GY73" s="2"/>
      <c r="GZ73" s="2"/>
      <c r="HA73" s="2">
        <v>0</v>
      </c>
      <c r="HB73" s="2">
        <v>0</v>
      </c>
      <c r="HC73" s="2">
        <f t="shared" si="93"/>
        <v>0</v>
      </c>
      <c r="HD73" s="2"/>
      <c r="HE73" s="2" t="s">
        <v>3</v>
      </c>
      <c r="HF73" s="2" t="s">
        <v>3</v>
      </c>
      <c r="HG73" s="2"/>
      <c r="HH73" s="2"/>
      <c r="HI73" s="2"/>
      <c r="HJ73" s="2"/>
      <c r="HK73" s="2"/>
      <c r="HL73" s="2"/>
      <c r="HM73" s="2" t="s">
        <v>3</v>
      </c>
      <c r="HN73" s="2" t="s">
        <v>124</v>
      </c>
      <c r="HO73" s="2" t="s">
        <v>125</v>
      </c>
      <c r="HP73" s="2" t="s">
        <v>121</v>
      </c>
      <c r="HQ73" s="2" t="s">
        <v>121</v>
      </c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>
        <v>0</v>
      </c>
      <c r="IL73" s="2"/>
      <c r="IM73" s="2"/>
      <c r="IN73" s="2"/>
      <c r="IO73" s="2"/>
      <c r="IP73" s="2"/>
      <c r="IQ73" s="2"/>
      <c r="IR73" s="2"/>
      <c r="IS73" s="2"/>
      <c r="IT73" s="2"/>
      <c r="IU73" s="2"/>
    </row>
    <row r="74" spans="1:245" ht="12.75">
      <c r="A74">
        <v>18</v>
      </c>
      <c r="B74">
        <v>1</v>
      </c>
      <c r="C74">
        <v>37</v>
      </c>
      <c r="E74" t="s">
        <v>126</v>
      </c>
      <c r="F74" t="s">
        <v>127</v>
      </c>
      <c r="G74" t="s">
        <v>128</v>
      </c>
      <c r="H74" t="s">
        <v>129</v>
      </c>
      <c r="I74">
        <f>I72*J74</f>
        <v>2.626727</v>
      </c>
      <c r="J74">
        <v>2.7079659793814432</v>
      </c>
      <c r="K74">
        <v>2.707966</v>
      </c>
      <c r="O74">
        <f t="shared" si="61"/>
        <v>21941.83</v>
      </c>
      <c r="P74">
        <f t="shared" si="62"/>
        <v>21941.83</v>
      </c>
      <c r="Q74">
        <f t="shared" si="63"/>
        <v>0</v>
      </c>
      <c r="R74">
        <f t="shared" si="64"/>
        <v>0</v>
      </c>
      <c r="S74">
        <f t="shared" si="65"/>
        <v>0</v>
      </c>
      <c r="T74">
        <f t="shared" si="66"/>
        <v>0</v>
      </c>
      <c r="U74">
        <f t="shared" si="67"/>
        <v>0</v>
      </c>
      <c r="V74">
        <f t="shared" si="68"/>
        <v>0</v>
      </c>
      <c r="W74">
        <f t="shared" si="69"/>
        <v>0</v>
      </c>
      <c r="X74">
        <f t="shared" si="70"/>
        <v>0</v>
      </c>
      <c r="Y74">
        <f t="shared" si="71"/>
        <v>0</v>
      </c>
      <c r="AA74">
        <v>55655399</v>
      </c>
      <c r="AB74">
        <f t="shared" si="72"/>
        <v>1243.05</v>
      </c>
      <c r="AC74">
        <f>ROUND((ES74),2)</f>
        <v>1243.05</v>
      </c>
      <c r="AD74">
        <f>ROUND((((ET74)-(EU74))+AE74),2)</f>
        <v>0</v>
      </c>
      <c r="AE74">
        <f>ROUND((EU74),2)</f>
        <v>0</v>
      </c>
      <c r="AF74">
        <f>ROUND((EV74),2)</f>
        <v>0</v>
      </c>
      <c r="AG74">
        <f t="shared" si="73"/>
        <v>0</v>
      </c>
      <c r="AH74">
        <f>(EW74)</f>
        <v>0</v>
      </c>
      <c r="AI74">
        <f>(EX74)</f>
        <v>0</v>
      </c>
      <c r="AJ74">
        <f t="shared" si="74"/>
        <v>0</v>
      </c>
      <c r="AK74">
        <v>1243.05</v>
      </c>
      <c r="AL74">
        <v>1243.05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109</v>
      </c>
      <c r="AU74">
        <v>57</v>
      </c>
      <c r="AV74">
        <v>1</v>
      </c>
      <c r="AW74">
        <v>1</v>
      </c>
      <c r="AZ74">
        <v>1</v>
      </c>
      <c r="BA74">
        <v>1</v>
      </c>
      <c r="BB74">
        <v>1</v>
      </c>
      <c r="BC74">
        <v>6.72</v>
      </c>
      <c r="BH74">
        <v>3</v>
      </c>
      <c r="BI74">
        <v>1</v>
      </c>
      <c r="BJ74" t="s">
        <v>130</v>
      </c>
      <c r="BM74">
        <v>12001</v>
      </c>
      <c r="BN74">
        <v>0</v>
      </c>
      <c r="BO74" t="s">
        <v>34</v>
      </c>
      <c r="BP74">
        <v>1</v>
      </c>
      <c r="BQ74">
        <v>2</v>
      </c>
      <c r="BR74">
        <v>0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BZ74">
        <v>109</v>
      </c>
      <c r="CA74">
        <v>57</v>
      </c>
      <c r="CE74">
        <v>0</v>
      </c>
      <c r="CF74">
        <v>0</v>
      </c>
      <c r="CG74">
        <v>0</v>
      </c>
      <c r="CM74">
        <v>0</v>
      </c>
      <c r="CO74">
        <v>0</v>
      </c>
      <c r="CP74">
        <f t="shared" si="75"/>
        <v>21941.83</v>
      </c>
      <c r="CQ74">
        <f t="shared" si="76"/>
        <v>8353.296</v>
      </c>
      <c r="CR74">
        <f>(((ET74)*BB74-(EU74)*BS74)+AE74*BS74)</f>
        <v>0</v>
      </c>
      <c r="CS74">
        <f t="shared" si="77"/>
        <v>0</v>
      </c>
      <c r="CT74">
        <f t="shared" si="78"/>
        <v>0</v>
      </c>
      <c r="CU74">
        <f t="shared" si="79"/>
        <v>0</v>
      </c>
      <c r="CV74">
        <f t="shared" si="80"/>
        <v>0</v>
      </c>
      <c r="CW74">
        <f t="shared" si="81"/>
        <v>0</v>
      </c>
      <c r="CX74">
        <f t="shared" si="82"/>
        <v>0</v>
      </c>
      <c r="CY74">
        <f t="shared" si="83"/>
        <v>0</v>
      </c>
      <c r="CZ74">
        <f t="shared" si="84"/>
        <v>0</v>
      </c>
      <c r="DN74">
        <v>0</v>
      </c>
      <c r="DO74">
        <v>0</v>
      </c>
      <c r="DP74">
        <v>1</v>
      </c>
      <c r="DQ74">
        <v>1</v>
      </c>
      <c r="DU74">
        <v>1009</v>
      </c>
      <c r="DV74" t="s">
        <v>129</v>
      </c>
      <c r="DW74" t="s">
        <v>129</v>
      </c>
      <c r="DX74">
        <v>1000</v>
      </c>
      <c r="EE74">
        <v>55471665</v>
      </c>
      <c r="EF74">
        <v>2</v>
      </c>
      <c r="EG74" t="s">
        <v>28</v>
      </c>
      <c r="EH74">
        <v>12</v>
      </c>
      <c r="EI74" t="s">
        <v>121</v>
      </c>
      <c r="EJ74">
        <v>1</v>
      </c>
      <c r="EK74">
        <v>12001</v>
      </c>
      <c r="EL74" t="s">
        <v>121</v>
      </c>
      <c r="EM74" t="s">
        <v>122</v>
      </c>
      <c r="EQ74">
        <v>0</v>
      </c>
      <c r="ER74">
        <v>1243.05</v>
      </c>
      <c r="ES74">
        <v>1243.05</v>
      </c>
      <c r="ET74">
        <v>0</v>
      </c>
      <c r="EU74">
        <v>0</v>
      </c>
      <c r="EV74">
        <v>0</v>
      </c>
      <c r="EW74">
        <v>0</v>
      </c>
      <c r="EX74">
        <v>0</v>
      </c>
      <c r="FQ74">
        <v>0</v>
      </c>
      <c r="FR74">
        <f t="shared" si="85"/>
        <v>0</v>
      </c>
      <c r="FS74">
        <v>0</v>
      </c>
      <c r="FX74">
        <v>109</v>
      </c>
      <c r="FY74">
        <v>57</v>
      </c>
      <c r="GD74">
        <v>1</v>
      </c>
      <c r="GF74">
        <v>-1961211957</v>
      </c>
      <c r="GG74">
        <v>2</v>
      </c>
      <c r="GH74">
        <v>1</v>
      </c>
      <c r="GI74">
        <v>4</v>
      </c>
      <c r="GJ74">
        <v>0</v>
      </c>
      <c r="GK74">
        <v>0</v>
      </c>
      <c r="GL74">
        <f t="shared" si="86"/>
        <v>0</v>
      </c>
      <c r="GM74">
        <f t="shared" si="87"/>
        <v>21941.83</v>
      </c>
      <c r="GN74">
        <f t="shared" si="88"/>
        <v>21941.83</v>
      </c>
      <c r="GO74">
        <f t="shared" si="89"/>
        <v>0</v>
      </c>
      <c r="GP74">
        <f t="shared" si="90"/>
        <v>0</v>
      </c>
      <c r="GR74">
        <v>0</v>
      </c>
      <c r="GS74">
        <v>0</v>
      </c>
      <c r="GT74">
        <v>0</v>
      </c>
      <c r="GV74">
        <f t="shared" si="91"/>
        <v>0</v>
      </c>
      <c r="GW74">
        <v>1</v>
      </c>
      <c r="GX74">
        <f t="shared" si="92"/>
        <v>0</v>
      </c>
      <c r="HA74">
        <v>0</v>
      </c>
      <c r="HB74">
        <v>0</v>
      </c>
      <c r="HC74">
        <f t="shared" si="93"/>
        <v>0</v>
      </c>
      <c r="HN74" t="s">
        <v>124</v>
      </c>
      <c r="HO74" t="s">
        <v>125</v>
      </c>
      <c r="HP74" t="s">
        <v>121</v>
      </c>
      <c r="HQ74" t="s">
        <v>121</v>
      </c>
      <c r="IK74">
        <v>0</v>
      </c>
    </row>
    <row r="75" spans="1:255" ht="12.75">
      <c r="A75" s="2">
        <v>17</v>
      </c>
      <c r="B75" s="2">
        <v>1</v>
      </c>
      <c r="C75" s="2">
        <f>ROW(SmtRes!A43)</f>
        <v>43</v>
      </c>
      <c r="D75" s="2">
        <f>ROW(EtalonRes!A47)</f>
        <v>47</v>
      </c>
      <c r="E75" s="2" t="s">
        <v>131</v>
      </c>
      <c r="F75" s="2" t="s">
        <v>132</v>
      </c>
      <c r="G75" s="2" t="s">
        <v>133</v>
      </c>
      <c r="H75" s="2" t="s">
        <v>24</v>
      </c>
      <c r="I75" s="2">
        <f>ROUND(ROUND(97/100,2),7)</f>
        <v>0.97</v>
      </c>
      <c r="J75" s="2">
        <v>0</v>
      </c>
      <c r="K75" s="2">
        <f>ROUND(ROUND(97/100,2),7)</f>
        <v>0.97</v>
      </c>
      <c r="L75" s="2"/>
      <c r="M75" s="2"/>
      <c r="N75" s="2"/>
      <c r="O75" s="2">
        <f t="shared" si="61"/>
        <v>192.95</v>
      </c>
      <c r="P75" s="2">
        <f t="shared" si="62"/>
        <v>0</v>
      </c>
      <c r="Q75" s="2">
        <f t="shared" si="63"/>
        <v>48.38</v>
      </c>
      <c r="R75" s="2">
        <f t="shared" si="64"/>
        <v>6.19</v>
      </c>
      <c r="S75" s="2">
        <f t="shared" si="65"/>
        <v>144.57</v>
      </c>
      <c r="T75" s="2">
        <f t="shared" si="66"/>
        <v>0</v>
      </c>
      <c r="U75" s="2">
        <f t="shared" si="67"/>
        <v>16.732499999999998</v>
      </c>
      <c r="V75" s="2">
        <f t="shared" si="68"/>
        <v>0.545625</v>
      </c>
      <c r="W75" s="2">
        <f t="shared" si="69"/>
        <v>0</v>
      </c>
      <c r="X75" s="2">
        <f t="shared" si="70"/>
        <v>147.9</v>
      </c>
      <c r="Y75" s="2">
        <f t="shared" si="71"/>
        <v>73.04</v>
      </c>
      <c r="Z75" s="2"/>
      <c r="AA75" s="2">
        <v>55655398</v>
      </c>
      <c r="AB75" s="2">
        <f t="shared" si="72"/>
        <v>198.92</v>
      </c>
      <c r="AC75" s="2">
        <f>ROUND(((ES75*ROUND(15,7))),2)</f>
        <v>0</v>
      </c>
      <c r="AD75" s="2">
        <f>ROUND(((((ET75*ROUND((1.25*15),7)))-((EU75*ROUND((1.25*15),7))))+AE75),2)</f>
        <v>49.88</v>
      </c>
      <c r="AE75" s="2">
        <f>ROUND(((EU75*ROUND((1.25*15),7))),2)</f>
        <v>6.38</v>
      </c>
      <c r="AF75" s="2">
        <f>ROUND(((EV75*ROUND((1.15*15),7))),2)</f>
        <v>149.04</v>
      </c>
      <c r="AG75" s="2">
        <f t="shared" si="73"/>
        <v>0</v>
      </c>
      <c r="AH75" s="2">
        <f>((EW75*ROUND((1.15*15),7)))</f>
        <v>17.25</v>
      </c>
      <c r="AI75" s="2">
        <f>((EX75*ROUND((1.25*15),7)))</f>
        <v>0.5625</v>
      </c>
      <c r="AJ75" s="2">
        <f t="shared" si="74"/>
        <v>0</v>
      </c>
      <c r="AK75" s="2">
        <v>11.3</v>
      </c>
      <c r="AL75" s="2">
        <v>0</v>
      </c>
      <c r="AM75" s="2">
        <v>2.66</v>
      </c>
      <c r="AN75" s="2">
        <v>0.34</v>
      </c>
      <c r="AO75" s="2">
        <v>8.64</v>
      </c>
      <c r="AP75" s="2">
        <v>0</v>
      </c>
      <c r="AQ75" s="2">
        <v>1</v>
      </c>
      <c r="AR75" s="2">
        <v>0.03</v>
      </c>
      <c r="AS75" s="2">
        <v>0</v>
      </c>
      <c r="AT75" s="2">
        <v>98.1</v>
      </c>
      <c r="AU75" s="2">
        <v>48.45</v>
      </c>
      <c r="AV75" s="2">
        <v>1</v>
      </c>
      <c r="AW75" s="2">
        <v>1</v>
      </c>
      <c r="AX75" s="2"/>
      <c r="AY75" s="2"/>
      <c r="AZ75" s="2">
        <v>1</v>
      </c>
      <c r="BA75" s="2">
        <v>1</v>
      </c>
      <c r="BB75" s="2">
        <v>1</v>
      </c>
      <c r="BC75" s="2">
        <v>1</v>
      </c>
      <c r="BD75" s="2" t="s">
        <v>3</v>
      </c>
      <c r="BE75" s="2" t="s">
        <v>3</v>
      </c>
      <c r="BF75" s="2" t="s">
        <v>3</v>
      </c>
      <c r="BG75" s="2" t="s">
        <v>3</v>
      </c>
      <c r="BH75" s="2">
        <v>0</v>
      </c>
      <c r="BI75" s="2">
        <v>1</v>
      </c>
      <c r="BJ75" s="2" t="s">
        <v>134</v>
      </c>
      <c r="BK75" s="2"/>
      <c r="BL75" s="2"/>
      <c r="BM75" s="2">
        <v>12001</v>
      </c>
      <c r="BN75" s="2">
        <v>0</v>
      </c>
      <c r="BO75" s="2" t="s">
        <v>3</v>
      </c>
      <c r="BP75" s="2">
        <v>0</v>
      </c>
      <c r="BQ75" s="2">
        <v>2</v>
      </c>
      <c r="BR75" s="2">
        <v>0</v>
      </c>
      <c r="BS75" s="2">
        <v>1</v>
      </c>
      <c r="BT75" s="2">
        <v>1</v>
      </c>
      <c r="BU75" s="2">
        <v>1</v>
      </c>
      <c r="BV75" s="2">
        <v>1</v>
      </c>
      <c r="BW75" s="2">
        <v>1</v>
      </c>
      <c r="BX75" s="2">
        <v>1</v>
      </c>
      <c r="BY75" s="2" t="s">
        <v>3</v>
      </c>
      <c r="BZ75" s="2">
        <v>109</v>
      </c>
      <c r="CA75" s="2">
        <v>57</v>
      </c>
      <c r="CB75" s="2" t="s">
        <v>3</v>
      </c>
      <c r="CC75" s="2"/>
      <c r="CD75" s="2"/>
      <c r="CE75" s="2">
        <v>0</v>
      </c>
      <c r="CF75" s="2">
        <v>0</v>
      </c>
      <c r="CG75" s="2">
        <v>0</v>
      </c>
      <c r="CH75" s="2"/>
      <c r="CI75" s="2"/>
      <c r="CJ75" s="2"/>
      <c r="CK75" s="2"/>
      <c r="CL75" s="2"/>
      <c r="CM75" s="2">
        <v>0</v>
      </c>
      <c r="CN75" s="2" t="s">
        <v>350</v>
      </c>
      <c r="CO75" s="2">
        <v>0</v>
      </c>
      <c r="CP75" s="2">
        <f t="shared" si="75"/>
        <v>192.95</v>
      </c>
      <c r="CQ75" s="2">
        <f t="shared" si="76"/>
        <v>0</v>
      </c>
      <c r="CR75" s="2">
        <f>((((ET75*ROUND((1.25*15),7)))*BB75-((EU75*ROUND((1.25*15),7)))*BS75)+AE75*BS75)</f>
        <v>49.88</v>
      </c>
      <c r="CS75" s="2">
        <f t="shared" si="77"/>
        <v>6.38</v>
      </c>
      <c r="CT75" s="2">
        <f t="shared" si="78"/>
        <v>149.04</v>
      </c>
      <c r="CU75" s="2">
        <f t="shared" si="79"/>
        <v>0</v>
      </c>
      <c r="CV75" s="2">
        <f t="shared" si="80"/>
        <v>17.25</v>
      </c>
      <c r="CW75" s="2">
        <f t="shared" si="81"/>
        <v>0.5625</v>
      </c>
      <c r="CX75" s="2">
        <f t="shared" si="82"/>
        <v>0</v>
      </c>
      <c r="CY75" s="2">
        <f t="shared" si="83"/>
        <v>147.89556</v>
      </c>
      <c r="CZ75" s="2">
        <f t="shared" si="84"/>
        <v>73.04322</v>
      </c>
      <c r="DA75" s="2"/>
      <c r="DB75" s="2"/>
      <c r="DC75" s="2" t="s">
        <v>3</v>
      </c>
      <c r="DD75" s="2" t="s">
        <v>135</v>
      </c>
      <c r="DE75" s="2" t="s">
        <v>136</v>
      </c>
      <c r="DF75" s="2" t="s">
        <v>136</v>
      </c>
      <c r="DG75" s="2" t="s">
        <v>137</v>
      </c>
      <c r="DH75" s="2" t="s">
        <v>3</v>
      </c>
      <c r="DI75" s="2" t="s">
        <v>137</v>
      </c>
      <c r="DJ75" s="2" t="s">
        <v>136</v>
      </c>
      <c r="DK75" s="2" t="s">
        <v>3</v>
      </c>
      <c r="DL75" s="2" t="s">
        <v>119</v>
      </c>
      <c r="DM75" s="2" t="s">
        <v>120</v>
      </c>
      <c r="DN75" s="2">
        <v>0</v>
      </c>
      <c r="DO75" s="2">
        <v>0</v>
      </c>
      <c r="DP75" s="2">
        <v>1</v>
      </c>
      <c r="DQ75" s="2">
        <v>1</v>
      </c>
      <c r="DR75" s="2"/>
      <c r="DS75" s="2"/>
      <c r="DT75" s="2"/>
      <c r="DU75" s="2">
        <v>1005</v>
      </c>
      <c r="DV75" s="2" t="s">
        <v>24</v>
      </c>
      <c r="DW75" s="2" t="s">
        <v>24</v>
      </c>
      <c r="DX75" s="2">
        <v>100</v>
      </c>
      <c r="DY75" s="2"/>
      <c r="DZ75" s="2" t="s">
        <v>3</v>
      </c>
      <c r="EA75" s="2" t="s">
        <v>3</v>
      </c>
      <c r="EB75" s="2" t="s">
        <v>3</v>
      </c>
      <c r="EC75" s="2" t="s">
        <v>3</v>
      </c>
      <c r="ED75" s="2"/>
      <c r="EE75" s="2">
        <v>55471665</v>
      </c>
      <c r="EF75" s="2">
        <v>2</v>
      </c>
      <c r="EG75" s="2" t="s">
        <v>28</v>
      </c>
      <c r="EH75" s="2">
        <v>12</v>
      </c>
      <c r="EI75" s="2" t="s">
        <v>121</v>
      </c>
      <c r="EJ75" s="2">
        <v>1</v>
      </c>
      <c r="EK75" s="2">
        <v>12001</v>
      </c>
      <c r="EL75" s="2" t="s">
        <v>121</v>
      </c>
      <c r="EM75" s="2" t="s">
        <v>122</v>
      </c>
      <c r="EN75" s="2"/>
      <c r="EO75" s="2" t="s">
        <v>123</v>
      </c>
      <c r="EP75" s="2"/>
      <c r="EQ75" s="2">
        <v>0</v>
      </c>
      <c r="ER75" s="2">
        <v>11.3</v>
      </c>
      <c r="ES75" s="2">
        <v>0</v>
      </c>
      <c r="ET75" s="2">
        <v>2.66</v>
      </c>
      <c r="EU75" s="2">
        <v>0.34</v>
      </c>
      <c r="EV75" s="2">
        <v>8.64</v>
      </c>
      <c r="EW75" s="2">
        <v>1</v>
      </c>
      <c r="EX75" s="2">
        <v>0.03</v>
      </c>
      <c r="EY75" s="2">
        <v>0</v>
      </c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>
        <v>0</v>
      </c>
      <c r="FR75" s="2">
        <f t="shared" si="85"/>
        <v>0</v>
      </c>
      <c r="FS75" s="2">
        <v>0</v>
      </c>
      <c r="FT75" s="2"/>
      <c r="FU75" s="2"/>
      <c r="FV75" s="2"/>
      <c r="FW75" s="2"/>
      <c r="FX75" s="2">
        <v>98.1</v>
      </c>
      <c r="FY75" s="2">
        <v>48.45</v>
      </c>
      <c r="FZ75" s="2"/>
      <c r="GA75" s="2" t="s">
        <v>3</v>
      </c>
      <c r="GB75" s="2"/>
      <c r="GC75" s="2"/>
      <c r="GD75" s="2">
        <v>1</v>
      </c>
      <c r="GE75" s="2"/>
      <c r="GF75" s="2">
        <v>-583158432</v>
      </c>
      <c r="GG75" s="2">
        <v>2</v>
      </c>
      <c r="GH75" s="2">
        <v>1</v>
      </c>
      <c r="GI75" s="2">
        <v>-2</v>
      </c>
      <c r="GJ75" s="2">
        <v>0</v>
      </c>
      <c r="GK75" s="2">
        <v>0</v>
      </c>
      <c r="GL75" s="2">
        <f t="shared" si="86"/>
        <v>0</v>
      </c>
      <c r="GM75" s="2">
        <f t="shared" si="87"/>
        <v>413.89</v>
      </c>
      <c r="GN75" s="2">
        <f t="shared" si="88"/>
        <v>413.89</v>
      </c>
      <c r="GO75" s="2">
        <f t="shared" si="89"/>
        <v>0</v>
      </c>
      <c r="GP75" s="2">
        <f t="shared" si="90"/>
        <v>0</v>
      </c>
      <c r="GQ75" s="2"/>
      <c r="GR75" s="2">
        <v>0</v>
      </c>
      <c r="GS75" s="2">
        <v>0</v>
      </c>
      <c r="GT75" s="2">
        <v>0</v>
      </c>
      <c r="GU75" s="2" t="s">
        <v>3</v>
      </c>
      <c r="GV75" s="2">
        <f t="shared" si="91"/>
        <v>0</v>
      </c>
      <c r="GW75" s="2">
        <v>1</v>
      </c>
      <c r="GX75" s="2">
        <f t="shared" si="92"/>
        <v>0</v>
      </c>
      <c r="GY75" s="2"/>
      <c r="GZ75" s="2"/>
      <c r="HA75" s="2">
        <v>0</v>
      </c>
      <c r="HB75" s="2">
        <v>0</v>
      </c>
      <c r="HC75" s="2">
        <f t="shared" si="93"/>
        <v>0</v>
      </c>
      <c r="HD75" s="2"/>
      <c r="HE75" s="2" t="s">
        <v>3</v>
      </c>
      <c r="HF75" s="2" t="s">
        <v>3</v>
      </c>
      <c r="HG75" s="2"/>
      <c r="HH75" s="2"/>
      <c r="HI75" s="2"/>
      <c r="HJ75" s="2"/>
      <c r="HK75" s="2"/>
      <c r="HL75" s="2"/>
      <c r="HM75" s="2" t="s">
        <v>3</v>
      </c>
      <c r="HN75" s="2" t="s">
        <v>124</v>
      </c>
      <c r="HO75" s="2" t="s">
        <v>125</v>
      </c>
      <c r="HP75" s="2" t="s">
        <v>121</v>
      </c>
      <c r="HQ75" s="2" t="s">
        <v>121</v>
      </c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>
        <v>0</v>
      </c>
      <c r="IL75" s="2"/>
      <c r="IM75" s="2"/>
      <c r="IN75" s="2"/>
      <c r="IO75" s="2"/>
      <c r="IP75" s="2"/>
      <c r="IQ75" s="2"/>
      <c r="IR75" s="2"/>
      <c r="IS75" s="2"/>
      <c r="IT75" s="2"/>
      <c r="IU75" s="2"/>
    </row>
    <row r="76" spans="1:245" ht="12.75">
      <c r="A76">
        <v>17</v>
      </c>
      <c r="B76">
        <v>1</v>
      </c>
      <c r="C76">
        <f>ROW(SmtRes!A48)</f>
        <v>48</v>
      </c>
      <c r="D76">
        <f>ROW(EtalonRes!A52)</f>
        <v>52</v>
      </c>
      <c r="E76" t="s">
        <v>131</v>
      </c>
      <c r="F76" t="s">
        <v>132</v>
      </c>
      <c r="G76" t="s">
        <v>133</v>
      </c>
      <c r="H76" t="s">
        <v>24</v>
      </c>
      <c r="I76">
        <f>ROUND(ROUND(97/100,2),7)</f>
        <v>0.97</v>
      </c>
      <c r="J76">
        <v>0</v>
      </c>
      <c r="K76">
        <f>ROUND(ROUND(97/100,2),7)</f>
        <v>0.97</v>
      </c>
      <c r="O76">
        <f t="shared" si="61"/>
        <v>6038.92</v>
      </c>
      <c r="P76">
        <f t="shared" si="62"/>
        <v>0</v>
      </c>
      <c r="Q76">
        <f t="shared" si="63"/>
        <v>640.72</v>
      </c>
      <c r="R76">
        <f t="shared" si="64"/>
        <v>231.08</v>
      </c>
      <c r="S76">
        <f t="shared" si="65"/>
        <v>5398.2</v>
      </c>
      <c r="T76">
        <f t="shared" si="66"/>
        <v>0</v>
      </c>
      <c r="U76">
        <f t="shared" si="67"/>
        <v>16.732499999999998</v>
      </c>
      <c r="V76">
        <f t="shared" si="68"/>
        <v>0.545625</v>
      </c>
      <c r="W76">
        <f t="shared" si="69"/>
        <v>0</v>
      </c>
      <c r="X76">
        <f t="shared" si="70"/>
        <v>5522.32</v>
      </c>
      <c r="Y76">
        <f t="shared" si="71"/>
        <v>2727.39</v>
      </c>
      <c r="AA76">
        <v>55655399</v>
      </c>
      <c r="AB76">
        <f t="shared" si="72"/>
        <v>198.92</v>
      </c>
      <c r="AC76">
        <f>ROUND(((ES76*ROUND(15,7))),2)</f>
        <v>0</v>
      </c>
      <c r="AD76">
        <f>ROUND(((((ET76*ROUND((1.25*15),7)))-((EU76*ROUND((1.25*15),7))))+AE76),2)</f>
        <v>49.88</v>
      </c>
      <c r="AE76">
        <f>ROUND(((EU76*ROUND((1.25*15),7))),2)</f>
        <v>6.38</v>
      </c>
      <c r="AF76">
        <f>ROUND(((EV76*ROUND((1.15*15),7))),2)</f>
        <v>149.04</v>
      </c>
      <c r="AG76">
        <f t="shared" si="73"/>
        <v>0</v>
      </c>
      <c r="AH76">
        <f>((EW76*ROUND((1.15*15),7)))</f>
        <v>17.25</v>
      </c>
      <c r="AI76">
        <f>((EX76*ROUND((1.25*15),7)))</f>
        <v>0.5625</v>
      </c>
      <c r="AJ76">
        <f t="shared" si="74"/>
        <v>0</v>
      </c>
      <c r="AK76">
        <v>11.3</v>
      </c>
      <c r="AL76">
        <v>0</v>
      </c>
      <c r="AM76">
        <v>2.66</v>
      </c>
      <c r="AN76">
        <v>0.34</v>
      </c>
      <c r="AO76">
        <v>8.64</v>
      </c>
      <c r="AP76">
        <v>0</v>
      </c>
      <c r="AQ76">
        <v>1</v>
      </c>
      <c r="AR76">
        <v>0.03</v>
      </c>
      <c r="AS76">
        <v>0</v>
      </c>
      <c r="AT76">
        <v>98.1</v>
      </c>
      <c r="AU76">
        <v>48.45</v>
      </c>
      <c r="AV76">
        <v>1</v>
      </c>
      <c r="AW76">
        <v>1</v>
      </c>
      <c r="AZ76">
        <v>1</v>
      </c>
      <c r="BA76">
        <v>37.34</v>
      </c>
      <c r="BB76">
        <v>13.24</v>
      </c>
      <c r="BC76">
        <v>6.72</v>
      </c>
      <c r="BH76">
        <v>0</v>
      </c>
      <c r="BI76">
        <v>1</v>
      </c>
      <c r="BJ76" t="s">
        <v>134</v>
      </c>
      <c r="BM76">
        <v>12001</v>
      </c>
      <c r="BN76">
        <v>0</v>
      </c>
      <c r="BO76" t="s">
        <v>34</v>
      </c>
      <c r="BP76">
        <v>1</v>
      </c>
      <c r="BQ76">
        <v>2</v>
      </c>
      <c r="BR76">
        <v>0</v>
      </c>
      <c r="BS76">
        <v>37.34</v>
      </c>
      <c r="BT76">
        <v>1</v>
      </c>
      <c r="BU76">
        <v>1</v>
      </c>
      <c r="BV76">
        <v>1</v>
      </c>
      <c r="BW76">
        <v>1</v>
      </c>
      <c r="BX76">
        <v>1</v>
      </c>
      <c r="BZ76">
        <v>109</v>
      </c>
      <c r="CA76">
        <v>57</v>
      </c>
      <c r="CE76">
        <v>0</v>
      </c>
      <c r="CF76">
        <v>0</v>
      </c>
      <c r="CG76">
        <v>0</v>
      </c>
      <c r="CM76">
        <v>0</v>
      </c>
      <c r="CN76" t="s">
        <v>350</v>
      </c>
      <c r="CO76">
        <v>0</v>
      </c>
      <c r="CP76">
        <f t="shared" si="75"/>
        <v>6038.92</v>
      </c>
      <c r="CQ76">
        <f t="shared" si="76"/>
        <v>0</v>
      </c>
      <c r="CR76">
        <f>((((ET76*ROUND((1.25*15),7)))*BB76-((EU76*ROUND((1.25*15),7)))*BS76)+AE76*BS76)</f>
        <v>660.5317</v>
      </c>
      <c r="CS76">
        <f t="shared" si="77"/>
        <v>238.22920000000002</v>
      </c>
      <c r="CT76">
        <f t="shared" si="78"/>
        <v>5565.153600000001</v>
      </c>
      <c r="CU76">
        <f t="shared" si="79"/>
        <v>0</v>
      </c>
      <c r="CV76">
        <f t="shared" si="80"/>
        <v>17.25</v>
      </c>
      <c r="CW76">
        <f t="shared" si="81"/>
        <v>0.5625</v>
      </c>
      <c r="CX76">
        <f t="shared" si="82"/>
        <v>0</v>
      </c>
      <c r="CY76">
        <f t="shared" si="83"/>
        <v>5522.323679999999</v>
      </c>
      <c r="CZ76">
        <f t="shared" si="84"/>
        <v>2727.38616</v>
      </c>
      <c r="DD76" t="s">
        <v>135</v>
      </c>
      <c r="DE76" t="s">
        <v>136</v>
      </c>
      <c r="DF76" t="s">
        <v>136</v>
      </c>
      <c r="DG76" t="s">
        <v>137</v>
      </c>
      <c r="DI76" t="s">
        <v>137</v>
      </c>
      <c r="DJ76" t="s">
        <v>136</v>
      </c>
      <c r="DL76" t="s">
        <v>119</v>
      </c>
      <c r="DM76" t="s">
        <v>120</v>
      </c>
      <c r="DN76">
        <v>0</v>
      </c>
      <c r="DO76">
        <v>0</v>
      </c>
      <c r="DP76">
        <v>1</v>
      </c>
      <c r="DQ76">
        <v>1</v>
      </c>
      <c r="DU76">
        <v>1005</v>
      </c>
      <c r="DV76" t="s">
        <v>24</v>
      </c>
      <c r="DW76" t="s">
        <v>24</v>
      </c>
      <c r="DX76">
        <v>100</v>
      </c>
      <c r="EE76">
        <v>55471665</v>
      </c>
      <c r="EF76">
        <v>2</v>
      </c>
      <c r="EG76" t="s">
        <v>28</v>
      </c>
      <c r="EH76">
        <v>12</v>
      </c>
      <c r="EI76" t="s">
        <v>121</v>
      </c>
      <c r="EJ76">
        <v>1</v>
      </c>
      <c r="EK76">
        <v>12001</v>
      </c>
      <c r="EL76" t="s">
        <v>121</v>
      </c>
      <c r="EM76" t="s">
        <v>122</v>
      </c>
      <c r="EO76" t="s">
        <v>123</v>
      </c>
      <c r="EQ76">
        <v>0</v>
      </c>
      <c r="ER76">
        <v>11.3</v>
      </c>
      <c r="ES76">
        <v>0</v>
      </c>
      <c r="ET76">
        <v>2.66</v>
      </c>
      <c r="EU76">
        <v>0.34</v>
      </c>
      <c r="EV76">
        <v>8.64</v>
      </c>
      <c r="EW76">
        <v>1</v>
      </c>
      <c r="EX76">
        <v>0.03</v>
      </c>
      <c r="EY76">
        <v>0</v>
      </c>
      <c r="FQ76">
        <v>0</v>
      </c>
      <c r="FR76">
        <f t="shared" si="85"/>
        <v>0</v>
      </c>
      <c r="FS76">
        <v>0</v>
      </c>
      <c r="FX76">
        <v>98.1</v>
      </c>
      <c r="FY76">
        <v>48.45</v>
      </c>
      <c r="GD76">
        <v>1</v>
      </c>
      <c r="GF76">
        <v>-583158432</v>
      </c>
      <c r="GG76">
        <v>2</v>
      </c>
      <c r="GH76">
        <v>1</v>
      </c>
      <c r="GI76">
        <v>4</v>
      </c>
      <c r="GJ76">
        <v>0</v>
      </c>
      <c r="GK76">
        <v>0</v>
      </c>
      <c r="GL76">
        <f t="shared" si="86"/>
        <v>0</v>
      </c>
      <c r="GM76">
        <f t="shared" si="87"/>
        <v>14288.63</v>
      </c>
      <c r="GN76">
        <f t="shared" si="88"/>
        <v>14288.63</v>
      </c>
      <c r="GO76">
        <f t="shared" si="89"/>
        <v>0</v>
      </c>
      <c r="GP76">
        <f t="shared" si="90"/>
        <v>0</v>
      </c>
      <c r="GR76">
        <v>0</v>
      </c>
      <c r="GS76">
        <v>0</v>
      </c>
      <c r="GT76">
        <v>0</v>
      </c>
      <c r="GV76">
        <f t="shared" si="91"/>
        <v>0</v>
      </c>
      <c r="GW76">
        <v>1</v>
      </c>
      <c r="GX76">
        <f t="shared" si="92"/>
        <v>0</v>
      </c>
      <c r="HA76">
        <v>0</v>
      </c>
      <c r="HB76">
        <v>0</v>
      </c>
      <c r="HC76">
        <f t="shared" si="93"/>
        <v>0</v>
      </c>
      <c r="HN76" t="s">
        <v>124</v>
      </c>
      <c r="HO76" t="s">
        <v>125</v>
      </c>
      <c r="HP76" t="s">
        <v>121</v>
      </c>
      <c r="HQ76" t="s">
        <v>121</v>
      </c>
      <c r="IK76">
        <v>0</v>
      </c>
    </row>
    <row r="77" spans="1:255" ht="12.75">
      <c r="A77" s="2">
        <v>18</v>
      </c>
      <c r="B77" s="2">
        <v>1</v>
      </c>
      <c r="C77" s="2">
        <v>43</v>
      </c>
      <c r="D77" s="2"/>
      <c r="E77" s="2" t="s">
        <v>138</v>
      </c>
      <c r="F77" s="2" t="s">
        <v>127</v>
      </c>
      <c r="G77" s="2" t="s">
        <v>128</v>
      </c>
      <c r="H77" s="2" t="s">
        <v>129</v>
      </c>
      <c r="I77" s="2">
        <f>I75*J77</f>
        <v>2.626464</v>
      </c>
      <c r="J77" s="2">
        <v>2.707694845360825</v>
      </c>
      <c r="K77" s="2">
        <v>2.707695</v>
      </c>
      <c r="L77" s="2"/>
      <c r="M77" s="2"/>
      <c r="N77" s="2"/>
      <c r="O77" s="2">
        <f t="shared" si="61"/>
        <v>3264.83</v>
      </c>
      <c r="P77" s="2">
        <f t="shared" si="62"/>
        <v>3264.83</v>
      </c>
      <c r="Q77" s="2">
        <f t="shared" si="63"/>
        <v>0</v>
      </c>
      <c r="R77" s="2">
        <f t="shared" si="64"/>
        <v>0</v>
      </c>
      <c r="S77" s="2">
        <f t="shared" si="65"/>
        <v>0</v>
      </c>
      <c r="T77" s="2">
        <f t="shared" si="66"/>
        <v>0</v>
      </c>
      <c r="U77" s="2">
        <f t="shared" si="67"/>
        <v>0</v>
      </c>
      <c r="V77" s="2">
        <f t="shared" si="68"/>
        <v>0</v>
      </c>
      <c r="W77" s="2">
        <f t="shared" si="69"/>
        <v>0</v>
      </c>
      <c r="X77" s="2">
        <f t="shared" si="70"/>
        <v>0</v>
      </c>
      <c r="Y77" s="2">
        <f t="shared" si="71"/>
        <v>0</v>
      </c>
      <c r="Z77" s="2"/>
      <c r="AA77" s="2">
        <v>55655398</v>
      </c>
      <c r="AB77" s="2">
        <f t="shared" si="72"/>
        <v>1243.05</v>
      </c>
      <c r="AC77" s="2">
        <f aca="true" t="shared" si="94" ref="AC77:AC94">ROUND((ES77),2)</f>
        <v>1243.05</v>
      </c>
      <c r="AD77" s="2">
        <f>ROUND((((ET77)-(EU77))+AE77),2)</f>
        <v>0</v>
      </c>
      <c r="AE77" s="2">
        <f>ROUND((EU77),2)</f>
        <v>0</v>
      </c>
      <c r="AF77" s="2">
        <f>ROUND((EV77),2)</f>
        <v>0</v>
      </c>
      <c r="AG77" s="2">
        <f t="shared" si="73"/>
        <v>0</v>
      </c>
      <c r="AH77" s="2">
        <f>(EW77)</f>
        <v>0</v>
      </c>
      <c r="AI77" s="2">
        <f>(EX77)</f>
        <v>0</v>
      </c>
      <c r="AJ77" s="2">
        <f t="shared" si="74"/>
        <v>0</v>
      </c>
      <c r="AK77" s="2">
        <v>1243.05</v>
      </c>
      <c r="AL77" s="2">
        <v>1243.05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109</v>
      </c>
      <c r="AU77" s="2">
        <v>57</v>
      </c>
      <c r="AV77" s="2">
        <v>1</v>
      </c>
      <c r="AW77" s="2">
        <v>1</v>
      </c>
      <c r="AX77" s="2"/>
      <c r="AY77" s="2"/>
      <c r="AZ77" s="2">
        <v>1</v>
      </c>
      <c r="BA77" s="2">
        <v>1</v>
      </c>
      <c r="BB77" s="2">
        <v>1</v>
      </c>
      <c r="BC77" s="2">
        <v>1</v>
      </c>
      <c r="BD77" s="2" t="s">
        <v>3</v>
      </c>
      <c r="BE77" s="2" t="s">
        <v>3</v>
      </c>
      <c r="BF77" s="2" t="s">
        <v>3</v>
      </c>
      <c r="BG77" s="2" t="s">
        <v>3</v>
      </c>
      <c r="BH77" s="2">
        <v>3</v>
      </c>
      <c r="BI77" s="2">
        <v>1</v>
      </c>
      <c r="BJ77" s="2" t="s">
        <v>130</v>
      </c>
      <c r="BK77" s="2"/>
      <c r="BL77" s="2"/>
      <c r="BM77" s="2">
        <v>12001</v>
      </c>
      <c r="BN77" s="2">
        <v>0</v>
      </c>
      <c r="BO77" s="2" t="s">
        <v>3</v>
      </c>
      <c r="BP77" s="2">
        <v>0</v>
      </c>
      <c r="BQ77" s="2">
        <v>2</v>
      </c>
      <c r="BR77" s="2">
        <v>0</v>
      </c>
      <c r="BS77" s="2">
        <v>1</v>
      </c>
      <c r="BT77" s="2">
        <v>1</v>
      </c>
      <c r="BU77" s="2">
        <v>1</v>
      </c>
      <c r="BV77" s="2">
        <v>1</v>
      </c>
      <c r="BW77" s="2">
        <v>1</v>
      </c>
      <c r="BX77" s="2">
        <v>1</v>
      </c>
      <c r="BY77" s="2" t="s">
        <v>3</v>
      </c>
      <c r="BZ77" s="2">
        <v>109</v>
      </c>
      <c r="CA77" s="2">
        <v>57</v>
      </c>
      <c r="CB77" s="2" t="s">
        <v>3</v>
      </c>
      <c r="CC77" s="2"/>
      <c r="CD77" s="2"/>
      <c r="CE77" s="2">
        <v>0</v>
      </c>
      <c r="CF77" s="2">
        <v>0</v>
      </c>
      <c r="CG77" s="2">
        <v>0</v>
      </c>
      <c r="CH77" s="2"/>
      <c r="CI77" s="2"/>
      <c r="CJ77" s="2"/>
      <c r="CK77" s="2"/>
      <c r="CL77" s="2"/>
      <c r="CM77" s="2">
        <v>0</v>
      </c>
      <c r="CN77" s="2" t="s">
        <v>350</v>
      </c>
      <c r="CO77" s="2">
        <v>0</v>
      </c>
      <c r="CP77" s="2">
        <f t="shared" si="75"/>
        <v>3264.83</v>
      </c>
      <c r="CQ77" s="2">
        <f t="shared" si="76"/>
        <v>1243.05</v>
      </c>
      <c r="CR77" s="2">
        <f>(((ET77)*BB77-(EU77)*BS77)+AE77*BS77)</f>
        <v>0</v>
      </c>
      <c r="CS77" s="2">
        <f t="shared" si="77"/>
        <v>0</v>
      </c>
      <c r="CT77" s="2">
        <f t="shared" si="78"/>
        <v>0</v>
      </c>
      <c r="CU77" s="2">
        <f t="shared" si="79"/>
        <v>0</v>
      </c>
      <c r="CV77" s="2">
        <f t="shared" si="80"/>
        <v>0</v>
      </c>
      <c r="CW77" s="2">
        <f t="shared" si="81"/>
        <v>0</v>
      </c>
      <c r="CX77" s="2">
        <f t="shared" si="82"/>
        <v>0</v>
      </c>
      <c r="CY77" s="2">
        <f t="shared" si="83"/>
        <v>0</v>
      </c>
      <c r="CZ77" s="2">
        <f t="shared" si="84"/>
        <v>0</v>
      </c>
      <c r="DA77" s="2"/>
      <c r="DB77" s="2"/>
      <c r="DC77" s="2" t="s">
        <v>3</v>
      </c>
      <c r="DD77" s="2" t="s">
        <v>3</v>
      </c>
      <c r="DE77" s="2" t="s">
        <v>3</v>
      </c>
      <c r="DF77" s="2" t="s">
        <v>3</v>
      </c>
      <c r="DG77" s="2" t="s">
        <v>3</v>
      </c>
      <c r="DH77" s="2" t="s">
        <v>3</v>
      </c>
      <c r="DI77" s="2" t="s">
        <v>3</v>
      </c>
      <c r="DJ77" s="2" t="s">
        <v>3</v>
      </c>
      <c r="DK77" s="2" t="s">
        <v>3</v>
      </c>
      <c r="DL77" s="2" t="s">
        <v>3</v>
      </c>
      <c r="DM77" s="2" t="s">
        <v>3</v>
      </c>
      <c r="DN77" s="2">
        <v>0</v>
      </c>
      <c r="DO77" s="2">
        <v>0</v>
      </c>
      <c r="DP77" s="2">
        <v>1</v>
      </c>
      <c r="DQ77" s="2">
        <v>1</v>
      </c>
      <c r="DR77" s="2"/>
      <c r="DS77" s="2"/>
      <c r="DT77" s="2"/>
      <c r="DU77" s="2">
        <v>1009</v>
      </c>
      <c r="DV77" s="2" t="s">
        <v>129</v>
      </c>
      <c r="DW77" s="2" t="s">
        <v>129</v>
      </c>
      <c r="DX77" s="2">
        <v>1000</v>
      </c>
      <c r="DY77" s="2"/>
      <c r="DZ77" s="2" t="s">
        <v>3</v>
      </c>
      <c r="EA77" s="2" t="s">
        <v>3</v>
      </c>
      <c r="EB77" s="2" t="s">
        <v>3</v>
      </c>
      <c r="EC77" s="2" t="s">
        <v>3</v>
      </c>
      <c r="ED77" s="2"/>
      <c r="EE77" s="2">
        <v>55471665</v>
      </c>
      <c r="EF77" s="2">
        <v>2</v>
      </c>
      <c r="EG77" s="2" t="s">
        <v>28</v>
      </c>
      <c r="EH77" s="2">
        <v>12</v>
      </c>
      <c r="EI77" s="2" t="s">
        <v>121</v>
      </c>
      <c r="EJ77" s="2">
        <v>1</v>
      </c>
      <c r="EK77" s="2">
        <v>12001</v>
      </c>
      <c r="EL77" s="2" t="s">
        <v>121</v>
      </c>
      <c r="EM77" s="2" t="s">
        <v>122</v>
      </c>
      <c r="EN77" s="2"/>
      <c r="EO77" s="2" t="s">
        <v>123</v>
      </c>
      <c r="EP77" s="2"/>
      <c r="EQ77" s="2">
        <v>0</v>
      </c>
      <c r="ER77" s="2">
        <v>1243.05</v>
      </c>
      <c r="ES77" s="2">
        <v>1243.05</v>
      </c>
      <c r="ET77" s="2">
        <v>0</v>
      </c>
      <c r="EU77" s="2">
        <v>0</v>
      </c>
      <c r="EV77" s="2">
        <v>0</v>
      </c>
      <c r="EW77" s="2">
        <v>0</v>
      </c>
      <c r="EX77" s="2">
        <v>0</v>
      </c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>
        <v>0</v>
      </c>
      <c r="FR77" s="2">
        <f t="shared" si="85"/>
        <v>0</v>
      </c>
      <c r="FS77" s="2">
        <v>0</v>
      </c>
      <c r="FT77" s="2"/>
      <c r="FU77" s="2"/>
      <c r="FV77" s="2"/>
      <c r="FW77" s="2"/>
      <c r="FX77" s="2">
        <v>109</v>
      </c>
      <c r="FY77" s="2">
        <v>57</v>
      </c>
      <c r="FZ77" s="2"/>
      <c r="GA77" s="2" t="s">
        <v>3</v>
      </c>
      <c r="GB77" s="2"/>
      <c r="GC77" s="2"/>
      <c r="GD77" s="2">
        <v>1</v>
      </c>
      <c r="GE77" s="2"/>
      <c r="GF77" s="2">
        <v>-1961211957</v>
      </c>
      <c r="GG77" s="2">
        <v>2</v>
      </c>
      <c r="GH77" s="2">
        <v>1</v>
      </c>
      <c r="GI77" s="2">
        <v>-2</v>
      </c>
      <c r="GJ77" s="2">
        <v>0</v>
      </c>
      <c r="GK77" s="2">
        <v>0</v>
      </c>
      <c r="GL77" s="2">
        <f t="shared" si="86"/>
        <v>0</v>
      </c>
      <c r="GM77" s="2">
        <f t="shared" si="87"/>
        <v>3264.83</v>
      </c>
      <c r="GN77" s="2">
        <f t="shared" si="88"/>
        <v>3264.83</v>
      </c>
      <c r="GO77" s="2">
        <f t="shared" si="89"/>
        <v>0</v>
      </c>
      <c r="GP77" s="2">
        <f t="shared" si="90"/>
        <v>0</v>
      </c>
      <c r="GQ77" s="2"/>
      <c r="GR77" s="2">
        <v>0</v>
      </c>
      <c r="GS77" s="2">
        <v>0</v>
      </c>
      <c r="GT77" s="2">
        <v>0</v>
      </c>
      <c r="GU77" s="2" t="s">
        <v>3</v>
      </c>
      <c r="GV77" s="2">
        <f t="shared" si="91"/>
        <v>0</v>
      </c>
      <c r="GW77" s="2">
        <v>1</v>
      </c>
      <c r="GX77" s="2">
        <f t="shared" si="92"/>
        <v>0</v>
      </c>
      <c r="GY77" s="2"/>
      <c r="GZ77" s="2"/>
      <c r="HA77" s="2">
        <v>0</v>
      </c>
      <c r="HB77" s="2">
        <v>0</v>
      </c>
      <c r="HC77" s="2">
        <f t="shared" si="93"/>
        <v>0</v>
      </c>
      <c r="HD77" s="2"/>
      <c r="HE77" s="2" t="s">
        <v>3</v>
      </c>
      <c r="HF77" s="2" t="s">
        <v>3</v>
      </c>
      <c r="HG77" s="2"/>
      <c r="HH77" s="2"/>
      <c r="HI77" s="2"/>
      <c r="HJ77" s="2"/>
      <c r="HK77" s="2"/>
      <c r="HL77" s="2"/>
      <c r="HM77" s="2" t="s">
        <v>3</v>
      </c>
      <c r="HN77" s="2" t="s">
        <v>124</v>
      </c>
      <c r="HO77" s="2" t="s">
        <v>125</v>
      </c>
      <c r="HP77" s="2" t="s">
        <v>121</v>
      </c>
      <c r="HQ77" s="2" t="s">
        <v>121</v>
      </c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>
        <v>0</v>
      </c>
      <c r="IL77" s="2"/>
      <c r="IM77" s="2"/>
      <c r="IN77" s="2"/>
      <c r="IO77" s="2"/>
      <c r="IP77" s="2"/>
      <c r="IQ77" s="2"/>
      <c r="IR77" s="2"/>
      <c r="IS77" s="2"/>
      <c r="IT77" s="2"/>
      <c r="IU77" s="2"/>
    </row>
    <row r="78" spans="1:245" ht="12.75">
      <c r="A78">
        <v>18</v>
      </c>
      <c r="B78">
        <v>1</v>
      </c>
      <c r="C78">
        <v>48</v>
      </c>
      <c r="E78" t="s">
        <v>138</v>
      </c>
      <c r="F78" t="s">
        <v>127</v>
      </c>
      <c r="G78" t="s">
        <v>128</v>
      </c>
      <c r="H78" t="s">
        <v>129</v>
      </c>
      <c r="I78">
        <f>I76*J78</f>
        <v>2.626464</v>
      </c>
      <c r="J78">
        <v>2.707694845360825</v>
      </c>
      <c r="K78">
        <v>2.707695</v>
      </c>
      <c r="O78">
        <f t="shared" si="61"/>
        <v>21939.63</v>
      </c>
      <c r="P78">
        <f t="shared" si="62"/>
        <v>21939.63</v>
      </c>
      <c r="Q78">
        <f t="shared" si="63"/>
        <v>0</v>
      </c>
      <c r="R78">
        <f t="shared" si="64"/>
        <v>0</v>
      </c>
      <c r="S78">
        <f t="shared" si="65"/>
        <v>0</v>
      </c>
      <c r="T78">
        <f t="shared" si="66"/>
        <v>0</v>
      </c>
      <c r="U78">
        <f t="shared" si="67"/>
        <v>0</v>
      </c>
      <c r="V78">
        <f t="shared" si="68"/>
        <v>0</v>
      </c>
      <c r="W78">
        <f t="shared" si="69"/>
        <v>0</v>
      </c>
      <c r="X78">
        <f t="shared" si="70"/>
        <v>0</v>
      </c>
      <c r="Y78">
        <f t="shared" si="71"/>
        <v>0</v>
      </c>
      <c r="AA78">
        <v>55655399</v>
      </c>
      <c r="AB78">
        <f t="shared" si="72"/>
        <v>1243.05</v>
      </c>
      <c r="AC78">
        <f t="shared" si="94"/>
        <v>1243.05</v>
      </c>
      <c r="AD78">
        <f>ROUND((((ET78)-(EU78))+AE78),2)</f>
        <v>0</v>
      </c>
      <c r="AE78">
        <f>ROUND((EU78),2)</f>
        <v>0</v>
      </c>
      <c r="AF78">
        <f>ROUND((EV78),2)</f>
        <v>0</v>
      </c>
      <c r="AG78">
        <f t="shared" si="73"/>
        <v>0</v>
      </c>
      <c r="AH78">
        <f>(EW78)</f>
        <v>0</v>
      </c>
      <c r="AI78">
        <f>(EX78)</f>
        <v>0</v>
      </c>
      <c r="AJ78">
        <f t="shared" si="74"/>
        <v>0</v>
      </c>
      <c r="AK78">
        <v>1243.05</v>
      </c>
      <c r="AL78">
        <v>1243.05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109</v>
      </c>
      <c r="AU78">
        <v>57</v>
      </c>
      <c r="AV78">
        <v>1</v>
      </c>
      <c r="AW78">
        <v>1</v>
      </c>
      <c r="AZ78">
        <v>1</v>
      </c>
      <c r="BA78">
        <v>1</v>
      </c>
      <c r="BB78">
        <v>1</v>
      </c>
      <c r="BC78">
        <v>6.72</v>
      </c>
      <c r="BH78">
        <v>3</v>
      </c>
      <c r="BI78">
        <v>1</v>
      </c>
      <c r="BJ78" t="s">
        <v>130</v>
      </c>
      <c r="BM78">
        <v>12001</v>
      </c>
      <c r="BN78">
        <v>0</v>
      </c>
      <c r="BO78" t="s">
        <v>34</v>
      </c>
      <c r="BP78">
        <v>1</v>
      </c>
      <c r="BQ78">
        <v>2</v>
      </c>
      <c r="BR78">
        <v>0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Z78">
        <v>109</v>
      </c>
      <c r="CA78">
        <v>57</v>
      </c>
      <c r="CE78">
        <v>0</v>
      </c>
      <c r="CF78">
        <v>0</v>
      </c>
      <c r="CG78">
        <v>0</v>
      </c>
      <c r="CM78">
        <v>0</v>
      </c>
      <c r="CN78" t="s">
        <v>350</v>
      </c>
      <c r="CO78">
        <v>0</v>
      </c>
      <c r="CP78">
        <f t="shared" si="75"/>
        <v>21939.63</v>
      </c>
      <c r="CQ78">
        <f t="shared" si="76"/>
        <v>8353.296</v>
      </c>
      <c r="CR78">
        <f>(((ET78)*BB78-(EU78)*BS78)+AE78*BS78)</f>
        <v>0</v>
      </c>
      <c r="CS78">
        <f t="shared" si="77"/>
        <v>0</v>
      </c>
      <c r="CT78">
        <f t="shared" si="78"/>
        <v>0</v>
      </c>
      <c r="CU78">
        <f t="shared" si="79"/>
        <v>0</v>
      </c>
      <c r="CV78">
        <f t="shared" si="80"/>
        <v>0</v>
      </c>
      <c r="CW78">
        <f t="shared" si="81"/>
        <v>0</v>
      </c>
      <c r="CX78">
        <f t="shared" si="82"/>
        <v>0</v>
      </c>
      <c r="CY78">
        <f t="shared" si="83"/>
        <v>0</v>
      </c>
      <c r="CZ78">
        <f t="shared" si="84"/>
        <v>0</v>
      </c>
      <c r="DN78">
        <v>0</v>
      </c>
      <c r="DO78">
        <v>0</v>
      </c>
      <c r="DP78">
        <v>1</v>
      </c>
      <c r="DQ78">
        <v>1</v>
      </c>
      <c r="DU78">
        <v>1009</v>
      </c>
      <c r="DV78" t="s">
        <v>129</v>
      </c>
      <c r="DW78" t="s">
        <v>129</v>
      </c>
      <c r="DX78">
        <v>1000</v>
      </c>
      <c r="EE78">
        <v>55471665</v>
      </c>
      <c r="EF78">
        <v>2</v>
      </c>
      <c r="EG78" t="s">
        <v>28</v>
      </c>
      <c r="EH78">
        <v>12</v>
      </c>
      <c r="EI78" t="s">
        <v>121</v>
      </c>
      <c r="EJ78">
        <v>1</v>
      </c>
      <c r="EK78">
        <v>12001</v>
      </c>
      <c r="EL78" t="s">
        <v>121</v>
      </c>
      <c r="EM78" t="s">
        <v>122</v>
      </c>
      <c r="EO78" t="s">
        <v>123</v>
      </c>
      <c r="EQ78">
        <v>0</v>
      </c>
      <c r="ER78">
        <v>1243.05</v>
      </c>
      <c r="ES78">
        <v>1243.05</v>
      </c>
      <c r="ET78">
        <v>0</v>
      </c>
      <c r="EU78">
        <v>0</v>
      </c>
      <c r="EV78">
        <v>0</v>
      </c>
      <c r="EW78">
        <v>0</v>
      </c>
      <c r="EX78">
        <v>0</v>
      </c>
      <c r="FQ78">
        <v>0</v>
      </c>
      <c r="FR78">
        <f t="shared" si="85"/>
        <v>0</v>
      </c>
      <c r="FS78">
        <v>0</v>
      </c>
      <c r="FX78">
        <v>109</v>
      </c>
      <c r="FY78">
        <v>57</v>
      </c>
      <c r="GD78">
        <v>1</v>
      </c>
      <c r="GF78">
        <v>-1961211957</v>
      </c>
      <c r="GG78">
        <v>2</v>
      </c>
      <c r="GH78">
        <v>1</v>
      </c>
      <c r="GI78">
        <v>4</v>
      </c>
      <c r="GJ78">
        <v>0</v>
      </c>
      <c r="GK78">
        <v>0</v>
      </c>
      <c r="GL78">
        <f t="shared" si="86"/>
        <v>0</v>
      </c>
      <c r="GM78">
        <f t="shared" si="87"/>
        <v>21939.63</v>
      </c>
      <c r="GN78">
        <f t="shared" si="88"/>
        <v>21939.63</v>
      </c>
      <c r="GO78">
        <f t="shared" si="89"/>
        <v>0</v>
      </c>
      <c r="GP78">
        <f t="shared" si="90"/>
        <v>0</v>
      </c>
      <c r="GR78">
        <v>0</v>
      </c>
      <c r="GS78">
        <v>0</v>
      </c>
      <c r="GT78">
        <v>0</v>
      </c>
      <c r="GV78">
        <f t="shared" si="91"/>
        <v>0</v>
      </c>
      <c r="GW78">
        <v>1</v>
      </c>
      <c r="GX78">
        <f t="shared" si="92"/>
        <v>0</v>
      </c>
      <c r="HA78">
        <v>0</v>
      </c>
      <c r="HB78">
        <v>0</v>
      </c>
      <c r="HC78">
        <f t="shared" si="93"/>
        <v>0</v>
      </c>
      <c r="HN78" t="s">
        <v>124</v>
      </c>
      <c r="HO78" t="s">
        <v>125</v>
      </c>
      <c r="HP78" t="s">
        <v>121</v>
      </c>
      <c r="HQ78" t="s">
        <v>121</v>
      </c>
      <c r="IK78">
        <v>0</v>
      </c>
    </row>
    <row r="79" spans="1:255" ht="12.75">
      <c r="A79" s="2">
        <v>17</v>
      </c>
      <c r="B79" s="2">
        <v>1</v>
      </c>
      <c r="C79" s="2">
        <f>ROW(SmtRes!A52)</f>
        <v>52</v>
      </c>
      <c r="D79" s="2">
        <f>ROW(EtalonRes!A56)</f>
        <v>56</v>
      </c>
      <c r="E79" s="2" t="s">
        <v>139</v>
      </c>
      <c r="F79" s="2" t="s">
        <v>140</v>
      </c>
      <c r="G79" s="2" t="s">
        <v>141</v>
      </c>
      <c r="H79" s="2" t="s">
        <v>24</v>
      </c>
      <c r="I79" s="2">
        <f>ROUND(234/100,7)</f>
        <v>2.34</v>
      </c>
      <c r="J79" s="2">
        <v>0</v>
      </c>
      <c r="K79" s="2">
        <f>ROUND(234/100,7)</f>
        <v>2.34</v>
      </c>
      <c r="L79" s="2"/>
      <c r="M79" s="2"/>
      <c r="N79" s="2"/>
      <c r="O79" s="2">
        <f t="shared" si="61"/>
        <v>284.15</v>
      </c>
      <c r="P79" s="2">
        <f t="shared" si="62"/>
        <v>210.6</v>
      </c>
      <c r="Q79" s="2">
        <f t="shared" si="63"/>
        <v>7.7</v>
      </c>
      <c r="R79" s="2">
        <f t="shared" si="64"/>
        <v>1.36</v>
      </c>
      <c r="S79" s="2">
        <f t="shared" si="65"/>
        <v>65.85</v>
      </c>
      <c r="T79" s="2">
        <f t="shared" si="66"/>
        <v>0</v>
      </c>
      <c r="U79" s="2">
        <f t="shared" si="67"/>
        <v>7.534799999999999</v>
      </c>
      <c r="V79" s="2">
        <f t="shared" si="68"/>
        <v>0.11699999999999999</v>
      </c>
      <c r="W79" s="2">
        <f t="shared" si="69"/>
        <v>0</v>
      </c>
      <c r="X79" s="2">
        <f t="shared" si="70"/>
        <v>65.93</v>
      </c>
      <c r="Y79" s="2">
        <f t="shared" si="71"/>
        <v>32.56</v>
      </c>
      <c r="Z79" s="2"/>
      <c r="AA79" s="2">
        <v>55655398</v>
      </c>
      <c r="AB79" s="2">
        <f t="shared" si="72"/>
        <v>121.43</v>
      </c>
      <c r="AC79" s="2">
        <f t="shared" si="94"/>
        <v>90</v>
      </c>
      <c r="AD79" s="2">
        <f aca="true" t="shared" si="95" ref="AD79:AD84">ROUND(((((ET79*ROUND(1.25,7)))-((EU79*ROUND(1.25,7))))+AE79),2)</f>
        <v>3.29</v>
      </c>
      <c r="AE79" s="2">
        <f aca="true" t="shared" si="96" ref="AE79:AE84">ROUND(((EU79*ROUND(1.25,7))),2)</f>
        <v>0.58</v>
      </c>
      <c r="AF79" s="2">
        <f aca="true" t="shared" si="97" ref="AF79:AF84">ROUND(((EV79*ROUND(1.15,7))),2)</f>
        <v>28.14</v>
      </c>
      <c r="AG79" s="2">
        <f t="shared" si="73"/>
        <v>0</v>
      </c>
      <c r="AH79" s="2">
        <f aca="true" t="shared" si="98" ref="AH79:AH84">((EW79*ROUND(1.15,7)))</f>
        <v>3.2199999999999998</v>
      </c>
      <c r="AI79" s="2">
        <f aca="true" t="shared" si="99" ref="AI79:AI84">((EX79*ROUND(1.25,7)))</f>
        <v>0.05</v>
      </c>
      <c r="AJ79" s="2">
        <f t="shared" si="74"/>
        <v>0</v>
      </c>
      <c r="AK79" s="2">
        <v>117.1</v>
      </c>
      <c r="AL79" s="2">
        <v>90</v>
      </c>
      <c r="AM79" s="2">
        <v>2.63</v>
      </c>
      <c r="AN79" s="2">
        <v>0.46</v>
      </c>
      <c r="AO79" s="2">
        <v>24.47</v>
      </c>
      <c r="AP79" s="2">
        <v>0</v>
      </c>
      <c r="AQ79" s="2">
        <v>2.8</v>
      </c>
      <c r="AR79" s="2">
        <v>0.04</v>
      </c>
      <c r="AS79" s="2">
        <v>0</v>
      </c>
      <c r="AT79" s="2">
        <v>98.1</v>
      </c>
      <c r="AU79" s="2">
        <v>48.45</v>
      </c>
      <c r="AV79" s="2">
        <v>1</v>
      </c>
      <c r="AW79" s="2">
        <v>1</v>
      </c>
      <c r="AX79" s="2"/>
      <c r="AY79" s="2"/>
      <c r="AZ79" s="2">
        <v>1</v>
      </c>
      <c r="BA79" s="2">
        <v>1</v>
      </c>
      <c r="BB79" s="2">
        <v>1</v>
      </c>
      <c r="BC79" s="2">
        <v>1</v>
      </c>
      <c r="BD79" s="2" t="s">
        <v>3</v>
      </c>
      <c r="BE79" s="2" t="s">
        <v>3</v>
      </c>
      <c r="BF79" s="2" t="s">
        <v>3</v>
      </c>
      <c r="BG79" s="2" t="s">
        <v>3</v>
      </c>
      <c r="BH79" s="2">
        <v>0</v>
      </c>
      <c r="BI79" s="2">
        <v>1</v>
      </c>
      <c r="BJ79" s="2" t="s">
        <v>142</v>
      </c>
      <c r="BK79" s="2"/>
      <c r="BL79" s="2"/>
      <c r="BM79" s="2">
        <v>12001</v>
      </c>
      <c r="BN79" s="2">
        <v>0</v>
      </c>
      <c r="BO79" s="2" t="s">
        <v>3</v>
      </c>
      <c r="BP79" s="2">
        <v>0</v>
      </c>
      <c r="BQ79" s="2">
        <v>2</v>
      </c>
      <c r="BR79" s="2">
        <v>0</v>
      </c>
      <c r="BS79" s="2">
        <v>1</v>
      </c>
      <c r="BT79" s="2">
        <v>1</v>
      </c>
      <c r="BU79" s="2">
        <v>1</v>
      </c>
      <c r="BV79" s="2">
        <v>1</v>
      </c>
      <c r="BW79" s="2">
        <v>1</v>
      </c>
      <c r="BX79" s="2">
        <v>1</v>
      </c>
      <c r="BY79" s="2" t="s">
        <v>3</v>
      </c>
      <c r="BZ79" s="2">
        <v>109</v>
      </c>
      <c r="CA79" s="2">
        <v>57</v>
      </c>
      <c r="CB79" s="2" t="s">
        <v>3</v>
      </c>
      <c r="CC79" s="2"/>
      <c r="CD79" s="2"/>
      <c r="CE79" s="2">
        <v>0</v>
      </c>
      <c r="CF79" s="2">
        <v>0</v>
      </c>
      <c r="CG79" s="2">
        <v>0</v>
      </c>
      <c r="CH79" s="2"/>
      <c r="CI79" s="2"/>
      <c r="CJ79" s="2"/>
      <c r="CK79" s="2"/>
      <c r="CL79" s="2"/>
      <c r="CM79" s="2">
        <v>0</v>
      </c>
      <c r="CN79" s="2" t="s">
        <v>350</v>
      </c>
      <c r="CO79" s="2">
        <v>0</v>
      </c>
      <c r="CP79" s="2">
        <f t="shared" si="75"/>
        <v>284.15</v>
      </c>
      <c r="CQ79" s="2">
        <f t="shared" si="76"/>
        <v>90</v>
      </c>
      <c r="CR79" s="2">
        <f aca="true" t="shared" si="100" ref="CR79:CR84">((((ET79*ROUND(1.25,7)))*BB79-((EU79*ROUND(1.25,7)))*BS79)+AE79*BS79)</f>
        <v>3.2924999999999995</v>
      </c>
      <c r="CS79" s="2">
        <f t="shared" si="77"/>
        <v>0.58</v>
      </c>
      <c r="CT79" s="2">
        <f t="shared" si="78"/>
        <v>28.14</v>
      </c>
      <c r="CU79" s="2">
        <f t="shared" si="79"/>
        <v>0</v>
      </c>
      <c r="CV79" s="2">
        <f t="shared" si="80"/>
        <v>3.2199999999999998</v>
      </c>
      <c r="CW79" s="2">
        <f t="shared" si="81"/>
        <v>0.05</v>
      </c>
      <c r="CX79" s="2">
        <f t="shared" si="82"/>
        <v>0</v>
      </c>
      <c r="CY79" s="2">
        <f t="shared" si="83"/>
        <v>65.93300999999998</v>
      </c>
      <c r="CZ79" s="2">
        <f t="shared" si="84"/>
        <v>32.563244999999995</v>
      </c>
      <c r="DA79" s="2"/>
      <c r="DB79" s="2"/>
      <c r="DC79" s="2" t="s">
        <v>3</v>
      </c>
      <c r="DD79" s="2" t="s">
        <v>3</v>
      </c>
      <c r="DE79" s="2" t="s">
        <v>117</v>
      </c>
      <c r="DF79" s="2" t="s">
        <v>117</v>
      </c>
      <c r="DG79" s="2" t="s">
        <v>118</v>
      </c>
      <c r="DH79" s="2" t="s">
        <v>3</v>
      </c>
      <c r="DI79" s="2" t="s">
        <v>118</v>
      </c>
      <c r="DJ79" s="2" t="s">
        <v>117</v>
      </c>
      <c r="DK79" s="2" t="s">
        <v>3</v>
      </c>
      <c r="DL79" s="2" t="s">
        <v>119</v>
      </c>
      <c r="DM79" s="2" t="s">
        <v>120</v>
      </c>
      <c r="DN79" s="2">
        <v>0</v>
      </c>
      <c r="DO79" s="2">
        <v>0</v>
      </c>
      <c r="DP79" s="2">
        <v>1</v>
      </c>
      <c r="DQ79" s="2">
        <v>1</v>
      </c>
      <c r="DR79" s="2"/>
      <c r="DS79" s="2"/>
      <c r="DT79" s="2"/>
      <c r="DU79" s="2">
        <v>1005</v>
      </c>
      <c r="DV79" s="2" t="s">
        <v>24</v>
      </c>
      <c r="DW79" s="2" t="s">
        <v>24</v>
      </c>
      <c r="DX79" s="2">
        <v>100</v>
      </c>
      <c r="DY79" s="2"/>
      <c r="DZ79" s="2" t="s">
        <v>3</v>
      </c>
      <c r="EA79" s="2" t="s">
        <v>3</v>
      </c>
      <c r="EB79" s="2" t="s">
        <v>3</v>
      </c>
      <c r="EC79" s="2" t="s">
        <v>3</v>
      </c>
      <c r="ED79" s="2"/>
      <c r="EE79" s="2">
        <v>55471665</v>
      </c>
      <c r="EF79" s="2">
        <v>2</v>
      </c>
      <c r="EG79" s="2" t="s">
        <v>28</v>
      </c>
      <c r="EH79" s="2">
        <v>12</v>
      </c>
      <c r="EI79" s="2" t="s">
        <v>121</v>
      </c>
      <c r="EJ79" s="2">
        <v>1</v>
      </c>
      <c r="EK79" s="2">
        <v>12001</v>
      </c>
      <c r="EL79" s="2" t="s">
        <v>121</v>
      </c>
      <c r="EM79" s="2" t="s">
        <v>122</v>
      </c>
      <c r="EN79" s="2"/>
      <c r="EO79" s="2" t="s">
        <v>123</v>
      </c>
      <c r="EP79" s="2"/>
      <c r="EQ79" s="2">
        <v>0</v>
      </c>
      <c r="ER79" s="2">
        <v>117.1</v>
      </c>
      <c r="ES79" s="2">
        <v>90</v>
      </c>
      <c r="ET79" s="2">
        <v>2.63</v>
      </c>
      <c r="EU79" s="2">
        <v>0.46</v>
      </c>
      <c r="EV79" s="2">
        <v>24.47</v>
      </c>
      <c r="EW79" s="2">
        <v>2.8</v>
      </c>
      <c r="EX79" s="2">
        <v>0.04</v>
      </c>
      <c r="EY79" s="2">
        <v>0</v>
      </c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>
        <v>0</v>
      </c>
      <c r="FR79" s="2">
        <f t="shared" si="85"/>
        <v>0</v>
      </c>
      <c r="FS79" s="2">
        <v>0</v>
      </c>
      <c r="FT79" s="2"/>
      <c r="FU79" s="2"/>
      <c r="FV79" s="2"/>
      <c r="FW79" s="2"/>
      <c r="FX79" s="2">
        <v>98.1</v>
      </c>
      <c r="FY79" s="2">
        <v>48.45</v>
      </c>
      <c r="FZ79" s="2"/>
      <c r="GA79" s="2" t="s">
        <v>3</v>
      </c>
      <c r="GB79" s="2"/>
      <c r="GC79" s="2"/>
      <c r="GD79" s="2">
        <v>1</v>
      </c>
      <c r="GE79" s="2"/>
      <c r="GF79" s="2">
        <v>-1376981920</v>
      </c>
      <c r="GG79" s="2">
        <v>2</v>
      </c>
      <c r="GH79" s="2">
        <v>1</v>
      </c>
      <c r="GI79" s="2">
        <v>-2</v>
      </c>
      <c r="GJ79" s="2">
        <v>0</v>
      </c>
      <c r="GK79" s="2">
        <v>0</v>
      </c>
      <c r="GL79" s="2">
        <f t="shared" si="86"/>
        <v>0</v>
      </c>
      <c r="GM79" s="2">
        <f t="shared" si="87"/>
        <v>382.64</v>
      </c>
      <c r="GN79" s="2">
        <f t="shared" si="88"/>
        <v>382.64</v>
      </c>
      <c r="GO79" s="2">
        <f t="shared" si="89"/>
        <v>0</v>
      </c>
      <c r="GP79" s="2">
        <f t="shared" si="90"/>
        <v>0</v>
      </c>
      <c r="GQ79" s="2"/>
      <c r="GR79" s="2">
        <v>0</v>
      </c>
      <c r="GS79" s="2">
        <v>3</v>
      </c>
      <c r="GT79" s="2">
        <v>0</v>
      </c>
      <c r="GU79" s="2" t="s">
        <v>3</v>
      </c>
      <c r="GV79" s="2">
        <f t="shared" si="91"/>
        <v>0</v>
      </c>
      <c r="GW79" s="2">
        <v>1</v>
      </c>
      <c r="GX79" s="2">
        <f t="shared" si="92"/>
        <v>0</v>
      </c>
      <c r="GY79" s="2"/>
      <c r="GZ79" s="2"/>
      <c r="HA79" s="2">
        <v>0</v>
      </c>
      <c r="HB79" s="2">
        <v>0</v>
      </c>
      <c r="HC79" s="2">
        <f t="shared" si="93"/>
        <v>0</v>
      </c>
      <c r="HD79" s="2"/>
      <c r="HE79" s="2" t="s">
        <v>3</v>
      </c>
      <c r="HF79" s="2" t="s">
        <v>3</v>
      </c>
      <c r="HG79" s="2"/>
      <c r="HH79" s="2"/>
      <c r="HI79" s="2"/>
      <c r="HJ79" s="2"/>
      <c r="HK79" s="2"/>
      <c r="HL79" s="2"/>
      <c r="HM79" s="2" t="s">
        <v>3</v>
      </c>
      <c r="HN79" s="2" t="s">
        <v>124</v>
      </c>
      <c r="HO79" s="2" t="s">
        <v>125</v>
      </c>
      <c r="HP79" s="2" t="s">
        <v>121</v>
      </c>
      <c r="HQ79" s="2" t="s">
        <v>121</v>
      </c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>
        <v>0</v>
      </c>
      <c r="IL79" s="2"/>
      <c r="IM79" s="2"/>
      <c r="IN79" s="2"/>
      <c r="IO79" s="2"/>
      <c r="IP79" s="2"/>
      <c r="IQ79" s="2"/>
      <c r="IR79" s="2"/>
      <c r="IS79" s="2"/>
      <c r="IT79" s="2"/>
      <c r="IU79" s="2"/>
    </row>
    <row r="80" spans="1:245" ht="12.75">
      <c r="A80">
        <v>17</v>
      </c>
      <c r="B80">
        <v>1</v>
      </c>
      <c r="C80">
        <f>ROW(SmtRes!A56)</f>
        <v>56</v>
      </c>
      <c r="D80">
        <f>ROW(EtalonRes!A60)</f>
        <v>60</v>
      </c>
      <c r="E80" t="s">
        <v>139</v>
      </c>
      <c r="F80" t="s">
        <v>140</v>
      </c>
      <c r="G80" t="s">
        <v>141</v>
      </c>
      <c r="H80" t="s">
        <v>24</v>
      </c>
      <c r="I80">
        <f>ROUND(234/100,7)</f>
        <v>2.34</v>
      </c>
      <c r="J80">
        <v>0</v>
      </c>
      <c r="K80">
        <f>ROUND(234/100,7)</f>
        <v>2.34</v>
      </c>
      <c r="O80">
        <f t="shared" si="61"/>
        <v>3976.27</v>
      </c>
      <c r="P80">
        <f t="shared" si="62"/>
        <v>1415.23</v>
      </c>
      <c r="Q80">
        <f t="shared" si="63"/>
        <v>102.29</v>
      </c>
      <c r="R80">
        <f t="shared" si="64"/>
        <v>50.68</v>
      </c>
      <c r="S80">
        <f t="shared" si="65"/>
        <v>2458.75</v>
      </c>
      <c r="T80">
        <f t="shared" si="66"/>
        <v>0</v>
      </c>
      <c r="U80">
        <f t="shared" si="67"/>
        <v>7.534799999999999</v>
      </c>
      <c r="V80">
        <f t="shared" si="68"/>
        <v>0.11699999999999999</v>
      </c>
      <c r="W80">
        <f t="shared" si="69"/>
        <v>0</v>
      </c>
      <c r="X80">
        <f t="shared" si="70"/>
        <v>2461.75</v>
      </c>
      <c r="Y80">
        <f t="shared" si="71"/>
        <v>1215.82</v>
      </c>
      <c r="AA80">
        <v>55655399</v>
      </c>
      <c r="AB80">
        <f t="shared" si="72"/>
        <v>121.43</v>
      </c>
      <c r="AC80">
        <f t="shared" si="94"/>
        <v>90</v>
      </c>
      <c r="AD80">
        <f t="shared" si="95"/>
        <v>3.29</v>
      </c>
      <c r="AE80">
        <f t="shared" si="96"/>
        <v>0.58</v>
      </c>
      <c r="AF80">
        <f t="shared" si="97"/>
        <v>28.14</v>
      </c>
      <c r="AG80">
        <f t="shared" si="73"/>
        <v>0</v>
      </c>
      <c r="AH80">
        <f t="shared" si="98"/>
        <v>3.2199999999999998</v>
      </c>
      <c r="AI80">
        <f t="shared" si="99"/>
        <v>0.05</v>
      </c>
      <c r="AJ80">
        <f t="shared" si="74"/>
        <v>0</v>
      </c>
      <c r="AK80">
        <v>117.1</v>
      </c>
      <c r="AL80">
        <v>90</v>
      </c>
      <c r="AM80">
        <v>2.63</v>
      </c>
      <c r="AN80">
        <v>0.46</v>
      </c>
      <c r="AO80">
        <v>24.47</v>
      </c>
      <c r="AP80">
        <v>0</v>
      </c>
      <c r="AQ80">
        <v>2.8</v>
      </c>
      <c r="AR80">
        <v>0.04</v>
      </c>
      <c r="AS80">
        <v>0</v>
      </c>
      <c r="AT80">
        <v>98.1</v>
      </c>
      <c r="AU80">
        <v>48.45</v>
      </c>
      <c r="AV80">
        <v>1</v>
      </c>
      <c r="AW80">
        <v>1</v>
      </c>
      <c r="AZ80">
        <v>1</v>
      </c>
      <c r="BA80">
        <v>37.34</v>
      </c>
      <c r="BB80">
        <v>13.24</v>
      </c>
      <c r="BC80">
        <v>6.72</v>
      </c>
      <c r="BH80">
        <v>0</v>
      </c>
      <c r="BI80">
        <v>1</v>
      </c>
      <c r="BJ80" t="s">
        <v>142</v>
      </c>
      <c r="BM80">
        <v>12001</v>
      </c>
      <c r="BN80">
        <v>0</v>
      </c>
      <c r="BO80" t="s">
        <v>34</v>
      </c>
      <c r="BP80">
        <v>1</v>
      </c>
      <c r="BQ80">
        <v>2</v>
      </c>
      <c r="BR80">
        <v>0</v>
      </c>
      <c r="BS80">
        <v>37.34</v>
      </c>
      <c r="BT80">
        <v>1</v>
      </c>
      <c r="BU80">
        <v>1</v>
      </c>
      <c r="BV80">
        <v>1</v>
      </c>
      <c r="BW80">
        <v>1</v>
      </c>
      <c r="BX80">
        <v>1</v>
      </c>
      <c r="BZ80">
        <v>109</v>
      </c>
      <c r="CA80">
        <v>57</v>
      </c>
      <c r="CE80">
        <v>0</v>
      </c>
      <c r="CF80">
        <v>0</v>
      </c>
      <c r="CG80">
        <v>0</v>
      </c>
      <c r="CM80">
        <v>0</v>
      </c>
      <c r="CN80" t="s">
        <v>350</v>
      </c>
      <c r="CO80">
        <v>0</v>
      </c>
      <c r="CP80">
        <f t="shared" si="75"/>
        <v>3976.27</v>
      </c>
      <c r="CQ80">
        <f t="shared" si="76"/>
        <v>604.8</v>
      </c>
      <c r="CR80">
        <f t="shared" si="100"/>
        <v>43.71319999999999</v>
      </c>
      <c r="CS80">
        <f t="shared" si="77"/>
        <v>21.6572</v>
      </c>
      <c r="CT80">
        <f t="shared" si="78"/>
        <v>1050.7476000000001</v>
      </c>
      <c r="CU80">
        <f t="shared" si="79"/>
        <v>0</v>
      </c>
      <c r="CV80">
        <f t="shared" si="80"/>
        <v>3.2199999999999998</v>
      </c>
      <c r="CW80">
        <f t="shared" si="81"/>
        <v>0.05</v>
      </c>
      <c r="CX80">
        <f t="shared" si="82"/>
        <v>0</v>
      </c>
      <c r="CY80">
        <f t="shared" si="83"/>
        <v>2461.75083</v>
      </c>
      <c r="CZ80">
        <f t="shared" si="84"/>
        <v>1215.818835</v>
      </c>
      <c r="DE80" t="s">
        <v>117</v>
      </c>
      <c r="DF80" t="s">
        <v>117</v>
      </c>
      <c r="DG80" t="s">
        <v>118</v>
      </c>
      <c r="DI80" t="s">
        <v>118</v>
      </c>
      <c r="DJ80" t="s">
        <v>117</v>
      </c>
      <c r="DL80" t="s">
        <v>119</v>
      </c>
      <c r="DM80" t="s">
        <v>120</v>
      </c>
      <c r="DN80">
        <v>0</v>
      </c>
      <c r="DO80">
        <v>0</v>
      </c>
      <c r="DP80">
        <v>1</v>
      </c>
      <c r="DQ80">
        <v>1</v>
      </c>
      <c r="DU80">
        <v>1005</v>
      </c>
      <c r="DV80" t="s">
        <v>24</v>
      </c>
      <c r="DW80" t="s">
        <v>24</v>
      </c>
      <c r="DX80">
        <v>100</v>
      </c>
      <c r="EE80">
        <v>55471665</v>
      </c>
      <c r="EF80">
        <v>2</v>
      </c>
      <c r="EG80" t="s">
        <v>28</v>
      </c>
      <c r="EH80">
        <v>12</v>
      </c>
      <c r="EI80" t="s">
        <v>121</v>
      </c>
      <c r="EJ80">
        <v>1</v>
      </c>
      <c r="EK80">
        <v>12001</v>
      </c>
      <c r="EL80" t="s">
        <v>121</v>
      </c>
      <c r="EM80" t="s">
        <v>122</v>
      </c>
      <c r="EO80" t="s">
        <v>123</v>
      </c>
      <c r="EQ80">
        <v>0</v>
      </c>
      <c r="ER80">
        <v>117.1</v>
      </c>
      <c r="ES80">
        <v>90</v>
      </c>
      <c r="ET80">
        <v>2.63</v>
      </c>
      <c r="EU80">
        <v>0.46</v>
      </c>
      <c r="EV80">
        <v>24.47</v>
      </c>
      <c r="EW80">
        <v>2.8</v>
      </c>
      <c r="EX80">
        <v>0.04</v>
      </c>
      <c r="EY80">
        <v>0</v>
      </c>
      <c r="FQ80">
        <v>0</v>
      </c>
      <c r="FR80">
        <f t="shared" si="85"/>
        <v>0</v>
      </c>
      <c r="FS80">
        <v>0</v>
      </c>
      <c r="FX80">
        <v>98.1</v>
      </c>
      <c r="FY80">
        <v>48.45</v>
      </c>
      <c r="GD80">
        <v>1</v>
      </c>
      <c r="GF80">
        <v>-1376981920</v>
      </c>
      <c r="GG80">
        <v>2</v>
      </c>
      <c r="GH80">
        <v>1</v>
      </c>
      <c r="GI80">
        <v>4</v>
      </c>
      <c r="GJ80">
        <v>0</v>
      </c>
      <c r="GK80">
        <v>0</v>
      </c>
      <c r="GL80">
        <f t="shared" si="86"/>
        <v>0</v>
      </c>
      <c r="GM80">
        <f t="shared" si="87"/>
        <v>7653.84</v>
      </c>
      <c r="GN80">
        <f t="shared" si="88"/>
        <v>7653.84</v>
      </c>
      <c r="GO80">
        <f t="shared" si="89"/>
        <v>0</v>
      </c>
      <c r="GP80">
        <f t="shared" si="90"/>
        <v>0</v>
      </c>
      <c r="GR80">
        <v>0</v>
      </c>
      <c r="GS80">
        <v>3</v>
      </c>
      <c r="GT80">
        <v>0</v>
      </c>
      <c r="GV80">
        <f t="shared" si="91"/>
        <v>0</v>
      </c>
      <c r="GW80">
        <v>1</v>
      </c>
      <c r="GX80">
        <f t="shared" si="92"/>
        <v>0</v>
      </c>
      <c r="HA80">
        <v>0</v>
      </c>
      <c r="HB80">
        <v>0</v>
      </c>
      <c r="HC80">
        <f t="shared" si="93"/>
        <v>0</v>
      </c>
      <c r="HN80" t="s">
        <v>124</v>
      </c>
      <c r="HO80" t="s">
        <v>125</v>
      </c>
      <c r="HP80" t="s">
        <v>121</v>
      </c>
      <c r="HQ80" t="s">
        <v>121</v>
      </c>
      <c r="IK80">
        <v>0</v>
      </c>
    </row>
    <row r="81" spans="1:255" ht="12.75">
      <c r="A81" s="2">
        <v>17</v>
      </c>
      <c r="B81" s="2">
        <v>1</v>
      </c>
      <c r="C81" s="2">
        <f>ROW(SmtRes!A63)</f>
        <v>63</v>
      </c>
      <c r="D81" s="2">
        <f>ROW(EtalonRes!A67)</f>
        <v>67</v>
      </c>
      <c r="E81" s="2" t="s">
        <v>143</v>
      </c>
      <c r="F81" s="2" t="s">
        <v>144</v>
      </c>
      <c r="G81" s="2" t="s">
        <v>145</v>
      </c>
      <c r="H81" s="2" t="s">
        <v>24</v>
      </c>
      <c r="I81" s="2">
        <f>ROUND(3/100,7)</f>
        <v>0.03</v>
      </c>
      <c r="J81" s="2">
        <v>0</v>
      </c>
      <c r="K81" s="2">
        <f>ROUND(3/100,7)</f>
        <v>0.03</v>
      </c>
      <c r="L81" s="2"/>
      <c r="M81" s="2"/>
      <c r="N81" s="2"/>
      <c r="O81" s="2">
        <f t="shared" si="61"/>
        <v>224.91</v>
      </c>
      <c r="P81" s="2">
        <f t="shared" si="62"/>
        <v>195.49</v>
      </c>
      <c r="Q81" s="2">
        <f t="shared" si="63"/>
        <v>0.82</v>
      </c>
      <c r="R81" s="2">
        <f t="shared" si="64"/>
        <v>0.13</v>
      </c>
      <c r="S81" s="2">
        <f t="shared" si="65"/>
        <v>28.6</v>
      </c>
      <c r="T81" s="2">
        <f t="shared" si="66"/>
        <v>0</v>
      </c>
      <c r="U81" s="2">
        <f t="shared" si="67"/>
        <v>3.3533999999999997</v>
      </c>
      <c r="V81" s="2">
        <f t="shared" si="68"/>
        <v>0.010125</v>
      </c>
      <c r="W81" s="2">
        <f t="shared" si="69"/>
        <v>0</v>
      </c>
      <c r="X81" s="2">
        <f t="shared" si="70"/>
        <v>28.18</v>
      </c>
      <c r="Y81" s="2">
        <f t="shared" si="71"/>
        <v>13.92</v>
      </c>
      <c r="Z81" s="2"/>
      <c r="AA81" s="2">
        <v>55655398</v>
      </c>
      <c r="AB81" s="2">
        <f t="shared" si="72"/>
        <v>7497.02</v>
      </c>
      <c r="AC81" s="2">
        <f t="shared" si="94"/>
        <v>6516.18</v>
      </c>
      <c r="AD81" s="2">
        <f t="shared" si="95"/>
        <v>27.35</v>
      </c>
      <c r="AE81" s="2">
        <f t="shared" si="96"/>
        <v>4.39</v>
      </c>
      <c r="AF81" s="2">
        <f t="shared" si="97"/>
        <v>953.49</v>
      </c>
      <c r="AG81" s="2">
        <f t="shared" si="73"/>
        <v>0</v>
      </c>
      <c r="AH81" s="2">
        <f t="shared" si="98"/>
        <v>111.78</v>
      </c>
      <c r="AI81" s="2">
        <f t="shared" si="99"/>
        <v>0.3375</v>
      </c>
      <c r="AJ81" s="2">
        <f t="shared" si="74"/>
        <v>0</v>
      </c>
      <c r="AK81" s="2">
        <v>7367.18</v>
      </c>
      <c r="AL81" s="2">
        <v>6516.18</v>
      </c>
      <c r="AM81" s="2">
        <v>21.88</v>
      </c>
      <c r="AN81" s="2">
        <v>3.51</v>
      </c>
      <c r="AO81" s="2">
        <v>829.12</v>
      </c>
      <c r="AP81" s="2">
        <v>0</v>
      </c>
      <c r="AQ81" s="2">
        <v>97.2</v>
      </c>
      <c r="AR81" s="2">
        <v>0.27</v>
      </c>
      <c r="AS81" s="2">
        <v>0</v>
      </c>
      <c r="AT81" s="2">
        <v>98.1</v>
      </c>
      <c r="AU81" s="2">
        <v>48.45</v>
      </c>
      <c r="AV81" s="2">
        <v>1</v>
      </c>
      <c r="AW81" s="2">
        <v>1</v>
      </c>
      <c r="AX81" s="2"/>
      <c r="AY81" s="2"/>
      <c r="AZ81" s="2">
        <v>1</v>
      </c>
      <c r="BA81" s="2">
        <v>1</v>
      </c>
      <c r="BB81" s="2">
        <v>1</v>
      </c>
      <c r="BC81" s="2">
        <v>1</v>
      </c>
      <c r="BD81" s="2" t="s">
        <v>3</v>
      </c>
      <c r="BE81" s="2" t="s">
        <v>3</v>
      </c>
      <c r="BF81" s="2" t="s">
        <v>3</v>
      </c>
      <c r="BG81" s="2" t="s">
        <v>3</v>
      </c>
      <c r="BH81" s="2">
        <v>0</v>
      </c>
      <c r="BI81" s="2">
        <v>1</v>
      </c>
      <c r="BJ81" s="2" t="s">
        <v>146</v>
      </c>
      <c r="BK81" s="2"/>
      <c r="BL81" s="2"/>
      <c r="BM81" s="2">
        <v>12001</v>
      </c>
      <c r="BN81" s="2">
        <v>0</v>
      </c>
      <c r="BO81" s="2" t="s">
        <v>3</v>
      </c>
      <c r="BP81" s="2">
        <v>0</v>
      </c>
      <c r="BQ81" s="2">
        <v>2</v>
      </c>
      <c r="BR81" s="2">
        <v>0</v>
      </c>
      <c r="BS81" s="2">
        <v>1</v>
      </c>
      <c r="BT81" s="2">
        <v>1</v>
      </c>
      <c r="BU81" s="2">
        <v>1</v>
      </c>
      <c r="BV81" s="2">
        <v>1</v>
      </c>
      <c r="BW81" s="2">
        <v>1</v>
      </c>
      <c r="BX81" s="2">
        <v>1</v>
      </c>
      <c r="BY81" s="2" t="s">
        <v>3</v>
      </c>
      <c r="BZ81" s="2">
        <v>109</v>
      </c>
      <c r="CA81" s="2">
        <v>57</v>
      </c>
      <c r="CB81" s="2" t="s">
        <v>3</v>
      </c>
      <c r="CC81" s="2"/>
      <c r="CD81" s="2"/>
      <c r="CE81" s="2">
        <v>0</v>
      </c>
      <c r="CF81" s="2">
        <v>0</v>
      </c>
      <c r="CG81" s="2">
        <v>0</v>
      </c>
      <c r="CH81" s="2"/>
      <c r="CI81" s="2"/>
      <c r="CJ81" s="2"/>
      <c r="CK81" s="2"/>
      <c r="CL81" s="2"/>
      <c r="CM81" s="2">
        <v>0</v>
      </c>
      <c r="CN81" s="2" t="s">
        <v>350</v>
      </c>
      <c r="CO81" s="2">
        <v>0</v>
      </c>
      <c r="CP81" s="2">
        <f t="shared" si="75"/>
        <v>224.91</v>
      </c>
      <c r="CQ81" s="2">
        <f t="shared" si="76"/>
        <v>6516.18</v>
      </c>
      <c r="CR81" s="2">
        <f t="shared" si="100"/>
        <v>27.3525</v>
      </c>
      <c r="CS81" s="2">
        <f t="shared" si="77"/>
        <v>4.39</v>
      </c>
      <c r="CT81" s="2">
        <f t="shared" si="78"/>
        <v>953.49</v>
      </c>
      <c r="CU81" s="2">
        <f t="shared" si="79"/>
        <v>0</v>
      </c>
      <c r="CV81" s="2">
        <f t="shared" si="80"/>
        <v>111.78</v>
      </c>
      <c r="CW81" s="2">
        <f t="shared" si="81"/>
        <v>0.3375</v>
      </c>
      <c r="CX81" s="2">
        <f t="shared" si="82"/>
        <v>0</v>
      </c>
      <c r="CY81" s="2">
        <f t="shared" si="83"/>
        <v>28.18413</v>
      </c>
      <c r="CZ81" s="2">
        <f t="shared" si="84"/>
        <v>13.919685000000001</v>
      </c>
      <c r="DA81" s="2"/>
      <c r="DB81" s="2"/>
      <c r="DC81" s="2" t="s">
        <v>3</v>
      </c>
      <c r="DD81" s="2" t="s">
        <v>3</v>
      </c>
      <c r="DE81" s="2" t="s">
        <v>117</v>
      </c>
      <c r="DF81" s="2" t="s">
        <v>117</v>
      </c>
      <c r="DG81" s="2" t="s">
        <v>118</v>
      </c>
      <c r="DH81" s="2" t="s">
        <v>3</v>
      </c>
      <c r="DI81" s="2" t="s">
        <v>118</v>
      </c>
      <c r="DJ81" s="2" t="s">
        <v>117</v>
      </c>
      <c r="DK81" s="2" t="s">
        <v>3</v>
      </c>
      <c r="DL81" s="2" t="s">
        <v>119</v>
      </c>
      <c r="DM81" s="2" t="s">
        <v>120</v>
      </c>
      <c r="DN81" s="2">
        <v>0</v>
      </c>
      <c r="DO81" s="2">
        <v>0</v>
      </c>
      <c r="DP81" s="2">
        <v>1</v>
      </c>
      <c r="DQ81" s="2">
        <v>1</v>
      </c>
      <c r="DR81" s="2"/>
      <c r="DS81" s="2"/>
      <c r="DT81" s="2"/>
      <c r="DU81" s="2">
        <v>1005</v>
      </c>
      <c r="DV81" s="2" t="s">
        <v>24</v>
      </c>
      <c r="DW81" s="2" t="s">
        <v>24</v>
      </c>
      <c r="DX81" s="2">
        <v>100</v>
      </c>
      <c r="DY81" s="2"/>
      <c r="DZ81" s="2" t="s">
        <v>3</v>
      </c>
      <c r="EA81" s="2" t="s">
        <v>3</v>
      </c>
      <c r="EB81" s="2" t="s">
        <v>3</v>
      </c>
      <c r="EC81" s="2" t="s">
        <v>3</v>
      </c>
      <c r="ED81" s="2"/>
      <c r="EE81" s="2">
        <v>55471665</v>
      </c>
      <c r="EF81" s="2">
        <v>2</v>
      </c>
      <c r="EG81" s="2" t="s">
        <v>28</v>
      </c>
      <c r="EH81" s="2">
        <v>12</v>
      </c>
      <c r="EI81" s="2" t="s">
        <v>121</v>
      </c>
      <c r="EJ81" s="2">
        <v>1</v>
      </c>
      <c r="EK81" s="2">
        <v>12001</v>
      </c>
      <c r="EL81" s="2" t="s">
        <v>121</v>
      </c>
      <c r="EM81" s="2" t="s">
        <v>122</v>
      </c>
      <c r="EN81" s="2"/>
      <c r="EO81" s="2" t="s">
        <v>123</v>
      </c>
      <c r="EP81" s="2"/>
      <c r="EQ81" s="2">
        <v>0</v>
      </c>
      <c r="ER81" s="2">
        <v>7367.18</v>
      </c>
      <c r="ES81" s="2">
        <v>6516.18</v>
      </c>
      <c r="ET81" s="2">
        <v>21.88</v>
      </c>
      <c r="EU81" s="2">
        <v>3.51</v>
      </c>
      <c r="EV81" s="2">
        <v>829.12</v>
      </c>
      <c r="EW81" s="2">
        <v>97.2</v>
      </c>
      <c r="EX81" s="2">
        <v>0.27</v>
      </c>
      <c r="EY81" s="2">
        <v>0</v>
      </c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>
        <v>0</v>
      </c>
      <c r="FR81" s="2">
        <f t="shared" si="85"/>
        <v>0</v>
      </c>
      <c r="FS81" s="2">
        <v>0</v>
      </c>
      <c r="FT81" s="2"/>
      <c r="FU81" s="2"/>
      <c r="FV81" s="2"/>
      <c r="FW81" s="2"/>
      <c r="FX81" s="2">
        <v>98.1</v>
      </c>
      <c r="FY81" s="2">
        <v>48.45</v>
      </c>
      <c r="FZ81" s="2"/>
      <c r="GA81" s="2" t="s">
        <v>3</v>
      </c>
      <c r="GB81" s="2"/>
      <c r="GC81" s="2"/>
      <c r="GD81" s="2">
        <v>1</v>
      </c>
      <c r="GE81" s="2"/>
      <c r="GF81" s="2">
        <v>-601591418</v>
      </c>
      <c r="GG81" s="2">
        <v>2</v>
      </c>
      <c r="GH81" s="2">
        <v>1</v>
      </c>
      <c r="GI81" s="2">
        <v>-2</v>
      </c>
      <c r="GJ81" s="2">
        <v>0</v>
      </c>
      <c r="GK81" s="2">
        <v>0</v>
      </c>
      <c r="GL81" s="2">
        <f t="shared" si="86"/>
        <v>0</v>
      </c>
      <c r="GM81" s="2">
        <f t="shared" si="87"/>
        <v>267.01</v>
      </c>
      <c r="GN81" s="2">
        <f t="shared" si="88"/>
        <v>267.01</v>
      </c>
      <c r="GO81" s="2">
        <f t="shared" si="89"/>
        <v>0</v>
      </c>
      <c r="GP81" s="2">
        <f t="shared" si="90"/>
        <v>0</v>
      </c>
      <c r="GQ81" s="2"/>
      <c r="GR81" s="2">
        <v>0</v>
      </c>
      <c r="GS81" s="2">
        <v>3</v>
      </c>
      <c r="GT81" s="2">
        <v>0</v>
      </c>
      <c r="GU81" s="2" t="s">
        <v>3</v>
      </c>
      <c r="GV81" s="2">
        <f t="shared" si="91"/>
        <v>0</v>
      </c>
      <c r="GW81" s="2">
        <v>1</v>
      </c>
      <c r="GX81" s="2">
        <f t="shared" si="92"/>
        <v>0</v>
      </c>
      <c r="GY81" s="2"/>
      <c r="GZ81" s="2"/>
      <c r="HA81" s="2">
        <v>0</v>
      </c>
      <c r="HB81" s="2">
        <v>0</v>
      </c>
      <c r="HC81" s="2">
        <f t="shared" si="93"/>
        <v>0</v>
      </c>
      <c r="HD81" s="2"/>
      <c r="HE81" s="2" t="s">
        <v>3</v>
      </c>
      <c r="HF81" s="2" t="s">
        <v>3</v>
      </c>
      <c r="HG81" s="2"/>
      <c r="HH81" s="2"/>
      <c r="HI81" s="2"/>
      <c r="HJ81" s="2"/>
      <c r="HK81" s="2"/>
      <c r="HL81" s="2"/>
      <c r="HM81" s="2" t="s">
        <v>3</v>
      </c>
      <c r="HN81" s="2" t="s">
        <v>124</v>
      </c>
      <c r="HO81" s="2" t="s">
        <v>125</v>
      </c>
      <c r="HP81" s="2" t="s">
        <v>121</v>
      </c>
      <c r="HQ81" s="2" t="s">
        <v>121</v>
      </c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>
        <v>0</v>
      </c>
      <c r="IL81" s="2"/>
      <c r="IM81" s="2"/>
      <c r="IN81" s="2"/>
      <c r="IO81" s="2"/>
      <c r="IP81" s="2"/>
      <c r="IQ81" s="2"/>
      <c r="IR81" s="2"/>
      <c r="IS81" s="2"/>
      <c r="IT81" s="2"/>
      <c r="IU81" s="2"/>
    </row>
    <row r="82" spans="1:245" ht="12.75">
      <c r="A82">
        <v>17</v>
      </c>
      <c r="B82">
        <v>1</v>
      </c>
      <c r="C82">
        <f>ROW(SmtRes!A70)</f>
        <v>70</v>
      </c>
      <c r="D82">
        <f>ROW(EtalonRes!A74)</f>
        <v>74</v>
      </c>
      <c r="E82" t="s">
        <v>143</v>
      </c>
      <c r="F82" t="s">
        <v>144</v>
      </c>
      <c r="G82" t="s">
        <v>145</v>
      </c>
      <c r="H82" t="s">
        <v>24</v>
      </c>
      <c r="I82">
        <f>ROUND(3/100,7)</f>
        <v>0.03</v>
      </c>
      <c r="J82">
        <v>0</v>
      </c>
      <c r="K82">
        <f>ROUND(3/100,7)</f>
        <v>0.03</v>
      </c>
      <c r="O82">
        <f t="shared" si="61"/>
        <v>2392.63</v>
      </c>
      <c r="P82">
        <f t="shared" si="62"/>
        <v>1313.66</v>
      </c>
      <c r="Q82">
        <f t="shared" si="63"/>
        <v>10.87</v>
      </c>
      <c r="R82">
        <f t="shared" si="64"/>
        <v>4.92</v>
      </c>
      <c r="S82">
        <f t="shared" si="65"/>
        <v>1068.1</v>
      </c>
      <c r="T82">
        <f t="shared" si="66"/>
        <v>0</v>
      </c>
      <c r="U82">
        <f t="shared" si="67"/>
        <v>3.3533999999999997</v>
      </c>
      <c r="V82">
        <f t="shared" si="68"/>
        <v>0.010125</v>
      </c>
      <c r="W82">
        <f t="shared" si="69"/>
        <v>0</v>
      </c>
      <c r="X82">
        <f t="shared" si="70"/>
        <v>1052.63</v>
      </c>
      <c r="Y82">
        <f t="shared" si="71"/>
        <v>519.88</v>
      </c>
      <c r="AA82">
        <v>55655399</v>
      </c>
      <c r="AB82">
        <f t="shared" si="72"/>
        <v>7497.02</v>
      </c>
      <c r="AC82">
        <f t="shared" si="94"/>
        <v>6516.18</v>
      </c>
      <c r="AD82">
        <f t="shared" si="95"/>
        <v>27.35</v>
      </c>
      <c r="AE82">
        <f t="shared" si="96"/>
        <v>4.39</v>
      </c>
      <c r="AF82">
        <f t="shared" si="97"/>
        <v>953.49</v>
      </c>
      <c r="AG82">
        <f t="shared" si="73"/>
        <v>0</v>
      </c>
      <c r="AH82">
        <f t="shared" si="98"/>
        <v>111.78</v>
      </c>
      <c r="AI82">
        <f t="shared" si="99"/>
        <v>0.3375</v>
      </c>
      <c r="AJ82">
        <f t="shared" si="74"/>
        <v>0</v>
      </c>
      <c r="AK82">
        <v>7367.18</v>
      </c>
      <c r="AL82">
        <v>6516.18</v>
      </c>
      <c r="AM82">
        <v>21.88</v>
      </c>
      <c r="AN82">
        <v>3.51</v>
      </c>
      <c r="AO82">
        <v>829.12</v>
      </c>
      <c r="AP82">
        <v>0</v>
      </c>
      <c r="AQ82">
        <v>97.2</v>
      </c>
      <c r="AR82">
        <v>0.27</v>
      </c>
      <c r="AS82">
        <v>0</v>
      </c>
      <c r="AT82">
        <v>98.1</v>
      </c>
      <c r="AU82">
        <v>48.45</v>
      </c>
      <c r="AV82">
        <v>1</v>
      </c>
      <c r="AW82">
        <v>1</v>
      </c>
      <c r="AZ82">
        <v>1</v>
      </c>
      <c r="BA82">
        <v>37.34</v>
      </c>
      <c r="BB82">
        <v>13.24</v>
      </c>
      <c r="BC82">
        <v>6.72</v>
      </c>
      <c r="BH82">
        <v>0</v>
      </c>
      <c r="BI82">
        <v>1</v>
      </c>
      <c r="BJ82" t="s">
        <v>146</v>
      </c>
      <c r="BM82">
        <v>12001</v>
      </c>
      <c r="BN82">
        <v>0</v>
      </c>
      <c r="BO82" t="s">
        <v>34</v>
      </c>
      <c r="BP82">
        <v>1</v>
      </c>
      <c r="BQ82">
        <v>2</v>
      </c>
      <c r="BR82">
        <v>0</v>
      </c>
      <c r="BS82">
        <v>37.34</v>
      </c>
      <c r="BT82">
        <v>1</v>
      </c>
      <c r="BU82">
        <v>1</v>
      </c>
      <c r="BV82">
        <v>1</v>
      </c>
      <c r="BW82">
        <v>1</v>
      </c>
      <c r="BX82">
        <v>1</v>
      </c>
      <c r="BZ82">
        <v>109</v>
      </c>
      <c r="CA82">
        <v>57</v>
      </c>
      <c r="CE82">
        <v>0</v>
      </c>
      <c r="CF82">
        <v>0</v>
      </c>
      <c r="CG82">
        <v>0</v>
      </c>
      <c r="CM82">
        <v>0</v>
      </c>
      <c r="CN82" t="s">
        <v>350</v>
      </c>
      <c r="CO82">
        <v>0</v>
      </c>
      <c r="CP82">
        <f t="shared" si="75"/>
        <v>2392.63</v>
      </c>
      <c r="CQ82">
        <f t="shared" si="76"/>
        <v>43788.7296</v>
      </c>
      <c r="CR82">
        <f t="shared" si="100"/>
        <v>362.20735</v>
      </c>
      <c r="CS82">
        <f t="shared" si="77"/>
        <v>163.92260000000002</v>
      </c>
      <c r="CT82">
        <f t="shared" si="78"/>
        <v>35603.316600000006</v>
      </c>
      <c r="CU82">
        <f t="shared" si="79"/>
        <v>0</v>
      </c>
      <c r="CV82">
        <f t="shared" si="80"/>
        <v>111.78</v>
      </c>
      <c r="CW82">
        <f t="shared" si="81"/>
        <v>0.3375</v>
      </c>
      <c r="CX82">
        <f t="shared" si="82"/>
        <v>0</v>
      </c>
      <c r="CY82">
        <f t="shared" si="83"/>
        <v>1052.6326199999999</v>
      </c>
      <c r="CZ82">
        <f t="shared" si="84"/>
        <v>519.87819</v>
      </c>
      <c r="DE82" t="s">
        <v>117</v>
      </c>
      <c r="DF82" t="s">
        <v>117</v>
      </c>
      <c r="DG82" t="s">
        <v>118</v>
      </c>
      <c r="DI82" t="s">
        <v>118</v>
      </c>
      <c r="DJ82" t="s">
        <v>117</v>
      </c>
      <c r="DL82" t="s">
        <v>119</v>
      </c>
      <c r="DM82" t="s">
        <v>120</v>
      </c>
      <c r="DN82">
        <v>0</v>
      </c>
      <c r="DO82">
        <v>0</v>
      </c>
      <c r="DP82">
        <v>1</v>
      </c>
      <c r="DQ82">
        <v>1</v>
      </c>
      <c r="DU82">
        <v>1005</v>
      </c>
      <c r="DV82" t="s">
        <v>24</v>
      </c>
      <c r="DW82" t="s">
        <v>24</v>
      </c>
      <c r="DX82">
        <v>100</v>
      </c>
      <c r="EE82">
        <v>55471665</v>
      </c>
      <c r="EF82">
        <v>2</v>
      </c>
      <c r="EG82" t="s">
        <v>28</v>
      </c>
      <c r="EH82">
        <v>12</v>
      </c>
      <c r="EI82" t="s">
        <v>121</v>
      </c>
      <c r="EJ82">
        <v>1</v>
      </c>
      <c r="EK82">
        <v>12001</v>
      </c>
      <c r="EL82" t="s">
        <v>121</v>
      </c>
      <c r="EM82" t="s">
        <v>122</v>
      </c>
      <c r="EO82" t="s">
        <v>123</v>
      </c>
      <c r="EQ82">
        <v>0</v>
      </c>
      <c r="ER82">
        <v>7367.18</v>
      </c>
      <c r="ES82">
        <v>6516.18</v>
      </c>
      <c r="ET82">
        <v>21.88</v>
      </c>
      <c r="EU82">
        <v>3.51</v>
      </c>
      <c r="EV82">
        <v>829.12</v>
      </c>
      <c r="EW82">
        <v>97.2</v>
      </c>
      <c r="EX82">
        <v>0.27</v>
      </c>
      <c r="EY82">
        <v>0</v>
      </c>
      <c r="FQ82">
        <v>0</v>
      </c>
      <c r="FR82">
        <f t="shared" si="85"/>
        <v>0</v>
      </c>
      <c r="FS82">
        <v>0</v>
      </c>
      <c r="FX82">
        <v>98.1</v>
      </c>
      <c r="FY82">
        <v>48.45</v>
      </c>
      <c r="GD82">
        <v>1</v>
      </c>
      <c r="GF82">
        <v>-601591418</v>
      </c>
      <c r="GG82">
        <v>2</v>
      </c>
      <c r="GH82">
        <v>1</v>
      </c>
      <c r="GI82">
        <v>4</v>
      </c>
      <c r="GJ82">
        <v>0</v>
      </c>
      <c r="GK82">
        <v>0</v>
      </c>
      <c r="GL82">
        <f t="shared" si="86"/>
        <v>0</v>
      </c>
      <c r="GM82">
        <f t="shared" si="87"/>
        <v>3965.14</v>
      </c>
      <c r="GN82">
        <f t="shared" si="88"/>
        <v>3965.14</v>
      </c>
      <c r="GO82">
        <f t="shared" si="89"/>
        <v>0</v>
      </c>
      <c r="GP82">
        <f t="shared" si="90"/>
        <v>0</v>
      </c>
      <c r="GR82">
        <v>0</v>
      </c>
      <c r="GS82">
        <v>3</v>
      </c>
      <c r="GT82">
        <v>0</v>
      </c>
      <c r="GV82">
        <f t="shared" si="91"/>
        <v>0</v>
      </c>
      <c r="GW82">
        <v>1</v>
      </c>
      <c r="GX82">
        <f t="shared" si="92"/>
        <v>0</v>
      </c>
      <c r="HA82">
        <v>0</v>
      </c>
      <c r="HB82">
        <v>0</v>
      </c>
      <c r="HC82">
        <f t="shared" si="93"/>
        <v>0</v>
      </c>
      <c r="HN82" t="s">
        <v>124</v>
      </c>
      <c r="HO82" t="s">
        <v>125</v>
      </c>
      <c r="HP82" t="s">
        <v>121</v>
      </c>
      <c r="HQ82" t="s">
        <v>121</v>
      </c>
      <c r="IK82">
        <v>0</v>
      </c>
    </row>
    <row r="83" spans="1:255" ht="12.75">
      <c r="A83" s="2">
        <v>17</v>
      </c>
      <c r="B83" s="2">
        <v>1</v>
      </c>
      <c r="C83" s="2">
        <f>ROW(SmtRes!A78)</f>
        <v>78</v>
      </c>
      <c r="D83" s="2">
        <f>ROW(EtalonRes!A82)</f>
        <v>82</v>
      </c>
      <c r="E83" s="2" t="s">
        <v>147</v>
      </c>
      <c r="F83" s="2" t="s">
        <v>148</v>
      </c>
      <c r="G83" s="2" t="s">
        <v>149</v>
      </c>
      <c r="H83" s="2" t="s">
        <v>24</v>
      </c>
      <c r="I83" s="2">
        <f>ROUND(234/100,7)</f>
        <v>2.34</v>
      </c>
      <c r="J83" s="2">
        <v>0</v>
      </c>
      <c r="K83" s="2">
        <f>ROUND(234/100,7)</f>
        <v>2.34</v>
      </c>
      <c r="L83" s="2"/>
      <c r="M83" s="2"/>
      <c r="N83" s="2"/>
      <c r="O83" s="2">
        <f t="shared" si="61"/>
        <v>861.97</v>
      </c>
      <c r="P83" s="2">
        <f t="shared" si="62"/>
        <v>426.65</v>
      </c>
      <c r="Q83" s="2">
        <f t="shared" si="63"/>
        <v>72.08</v>
      </c>
      <c r="R83" s="2">
        <f t="shared" si="64"/>
        <v>10.97</v>
      </c>
      <c r="S83" s="2">
        <f t="shared" si="65"/>
        <v>363.24</v>
      </c>
      <c r="T83" s="2">
        <f t="shared" si="66"/>
        <v>0</v>
      </c>
      <c r="U83" s="2">
        <f t="shared" si="67"/>
        <v>38.642759999999996</v>
      </c>
      <c r="V83" s="2">
        <f t="shared" si="68"/>
        <v>0.84825</v>
      </c>
      <c r="W83" s="2">
        <f t="shared" si="69"/>
        <v>0</v>
      </c>
      <c r="X83" s="2">
        <f t="shared" si="70"/>
        <v>367.1</v>
      </c>
      <c r="Y83" s="2">
        <f t="shared" si="71"/>
        <v>181.3</v>
      </c>
      <c r="Z83" s="2"/>
      <c r="AA83" s="2">
        <v>55655398</v>
      </c>
      <c r="AB83" s="2">
        <f t="shared" si="72"/>
        <v>368.36</v>
      </c>
      <c r="AC83" s="2">
        <f t="shared" si="94"/>
        <v>182.33</v>
      </c>
      <c r="AD83" s="2">
        <f t="shared" si="95"/>
        <v>30.8</v>
      </c>
      <c r="AE83" s="2">
        <f t="shared" si="96"/>
        <v>4.69</v>
      </c>
      <c r="AF83" s="2">
        <f t="shared" si="97"/>
        <v>155.23</v>
      </c>
      <c r="AG83" s="2">
        <f t="shared" si="73"/>
        <v>0</v>
      </c>
      <c r="AH83" s="2">
        <f t="shared" si="98"/>
        <v>16.514</v>
      </c>
      <c r="AI83" s="2">
        <f t="shared" si="99"/>
        <v>0.3625</v>
      </c>
      <c r="AJ83" s="2">
        <f t="shared" si="74"/>
        <v>0</v>
      </c>
      <c r="AK83" s="2">
        <v>341.95</v>
      </c>
      <c r="AL83" s="2">
        <v>182.33</v>
      </c>
      <c r="AM83" s="2">
        <v>24.64</v>
      </c>
      <c r="AN83" s="2">
        <v>3.75</v>
      </c>
      <c r="AO83" s="2">
        <v>134.98</v>
      </c>
      <c r="AP83" s="2">
        <v>0</v>
      </c>
      <c r="AQ83" s="2">
        <v>14.36</v>
      </c>
      <c r="AR83" s="2">
        <v>0.29</v>
      </c>
      <c r="AS83" s="2">
        <v>0</v>
      </c>
      <c r="AT83" s="2">
        <v>98.1</v>
      </c>
      <c r="AU83" s="2">
        <v>48.45</v>
      </c>
      <c r="AV83" s="2">
        <v>1</v>
      </c>
      <c r="AW83" s="2">
        <v>1</v>
      </c>
      <c r="AX83" s="2"/>
      <c r="AY83" s="2"/>
      <c r="AZ83" s="2">
        <v>1</v>
      </c>
      <c r="BA83" s="2">
        <v>1</v>
      </c>
      <c r="BB83" s="2">
        <v>1</v>
      </c>
      <c r="BC83" s="2">
        <v>1</v>
      </c>
      <c r="BD83" s="2" t="s">
        <v>3</v>
      </c>
      <c r="BE83" s="2" t="s">
        <v>3</v>
      </c>
      <c r="BF83" s="2" t="s">
        <v>3</v>
      </c>
      <c r="BG83" s="2" t="s">
        <v>3</v>
      </c>
      <c r="BH83" s="2">
        <v>0</v>
      </c>
      <c r="BI83" s="2">
        <v>1</v>
      </c>
      <c r="BJ83" s="2" t="s">
        <v>150</v>
      </c>
      <c r="BK83" s="2"/>
      <c r="BL83" s="2"/>
      <c r="BM83" s="2">
        <v>12001</v>
      </c>
      <c r="BN83" s="2">
        <v>0</v>
      </c>
      <c r="BO83" s="2" t="s">
        <v>3</v>
      </c>
      <c r="BP83" s="2">
        <v>0</v>
      </c>
      <c r="BQ83" s="2">
        <v>2</v>
      </c>
      <c r="BR83" s="2">
        <v>0</v>
      </c>
      <c r="BS83" s="2">
        <v>1</v>
      </c>
      <c r="BT83" s="2">
        <v>1</v>
      </c>
      <c r="BU83" s="2">
        <v>1</v>
      </c>
      <c r="BV83" s="2">
        <v>1</v>
      </c>
      <c r="BW83" s="2">
        <v>1</v>
      </c>
      <c r="BX83" s="2">
        <v>1</v>
      </c>
      <c r="BY83" s="2" t="s">
        <v>3</v>
      </c>
      <c r="BZ83" s="2">
        <v>109</v>
      </c>
      <c r="CA83" s="2">
        <v>57</v>
      </c>
      <c r="CB83" s="2" t="s">
        <v>3</v>
      </c>
      <c r="CC83" s="2"/>
      <c r="CD83" s="2"/>
      <c r="CE83" s="2">
        <v>0</v>
      </c>
      <c r="CF83" s="2">
        <v>0</v>
      </c>
      <c r="CG83" s="2">
        <v>0</v>
      </c>
      <c r="CH83" s="2"/>
      <c r="CI83" s="2"/>
      <c r="CJ83" s="2"/>
      <c r="CK83" s="2"/>
      <c r="CL83" s="2"/>
      <c r="CM83" s="2">
        <v>0</v>
      </c>
      <c r="CN83" s="2" t="s">
        <v>350</v>
      </c>
      <c r="CO83" s="2">
        <v>0</v>
      </c>
      <c r="CP83" s="2">
        <f t="shared" si="75"/>
        <v>861.97</v>
      </c>
      <c r="CQ83" s="2">
        <f t="shared" si="76"/>
        <v>182.33</v>
      </c>
      <c r="CR83" s="2">
        <f t="shared" si="100"/>
        <v>30.802500000000002</v>
      </c>
      <c r="CS83" s="2">
        <f t="shared" si="77"/>
        <v>4.69</v>
      </c>
      <c r="CT83" s="2">
        <f t="shared" si="78"/>
        <v>155.23</v>
      </c>
      <c r="CU83" s="2">
        <f t="shared" si="79"/>
        <v>0</v>
      </c>
      <c r="CV83" s="2">
        <f t="shared" si="80"/>
        <v>16.514</v>
      </c>
      <c r="CW83" s="2">
        <f t="shared" si="81"/>
        <v>0.3625</v>
      </c>
      <c r="CX83" s="2">
        <f t="shared" si="82"/>
        <v>0</v>
      </c>
      <c r="CY83" s="2">
        <f t="shared" si="83"/>
        <v>367.10001000000005</v>
      </c>
      <c r="CZ83" s="2">
        <f t="shared" si="84"/>
        <v>181.30474500000003</v>
      </c>
      <c r="DA83" s="2"/>
      <c r="DB83" s="2"/>
      <c r="DC83" s="2" t="s">
        <v>3</v>
      </c>
      <c r="DD83" s="2" t="s">
        <v>3</v>
      </c>
      <c r="DE83" s="2" t="s">
        <v>117</v>
      </c>
      <c r="DF83" s="2" t="s">
        <v>117</v>
      </c>
      <c r="DG83" s="2" t="s">
        <v>118</v>
      </c>
      <c r="DH83" s="2" t="s">
        <v>3</v>
      </c>
      <c r="DI83" s="2" t="s">
        <v>118</v>
      </c>
      <c r="DJ83" s="2" t="s">
        <v>117</v>
      </c>
      <c r="DK83" s="2" t="s">
        <v>3</v>
      </c>
      <c r="DL83" s="2" t="s">
        <v>119</v>
      </c>
      <c r="DM83" s="2" t="s">
        <v>120</v>
      </c>
      <c r="DN83" s="2">
        <v>0</v>
      </c>
      <c r="DO83" s="2">
        <v>0</v>
      </c>
      <c r="DP83" s="2">
        <v>1</v>
      </c>
      <c r="DQ83" s="2">
        <v>1</v>
      </c>
      <c r="DR83" s="2"/>
      <c r="DS83" s="2"/>
      <c r="DT83" s="2"/>
      <c r="DU83" s="2">
        <v>1005</v>
      </c>
      <c r="DV83" s="2" t="s">
        <v>24</v>
      </c>
      <c r="DW83" s="2" t="s">
        <v>24</v>
      </c>
      <c r="DX83" s="2">
        <v>100</v>
      </c>
      <c r="DY83" s="2"/>
      <c r="DZ83" s="2" t="s">
        <v>3</v>
      </c>
      <c r="EA83" s="2" t="s">
        <v>3</v>
      </c>
      <c r="EB83" s="2" t="s">
        <v>3</v>
      </c>
      <c r="EC83" s="2" t="s">
        <v>3</v>
      </c>
      <c r="ED83" s="2"/>
      <c r="EE83" s="2">
        <v>55471665</v>
      </c>
      <c r="EF83" s="2">
        <v>2</v>
      </c>
      <c r="EG83" s="2" t="s">
        <v>28</v>
      </c>
      <c r="EH83" s="2">
        <v>12</v>
      </c>
      <c r="EI83" s="2" t="s">
        <v>121</v>
      </c>
      <c r="EJ83" s="2">
        <v>1</v>
      </c>
      <c r="EK83" s="2">
        <v>12001</v>
      </c>
      <c r="EL83" s="2" t="s">
        <v>121</v>
      </c>
      <c r="EM83" s="2" t="s">
        <v>122</v>
      </c>
      <c r="EN83" s="2"/>
      <c r="EO83" s="2" t="s">
        <v>123</v>
      </c>
      <c r="EP83" s="2"/>
      <c r="EQ83" s="2">
        <v>0</v>
      </c>
      <c r="ER83" s="2">
        <v>341.95</v>
      </c>
      <c r="ES83" s="2">
        <v>182.33</v>
      </c>
      <c r="ET83" s="2">
        <v>24.64</v>
      </c>
      <c r="EU83" s="2">
        <v>3.75</v>
      </c>
      <c r="EV83" s="2">
        <v>134.98</v>
      </c>
      <c r="EW83" s="2">
        <v>14.36</v>
      </c>
      <c r="EX83" s="2">
        <v>0.29</v>
      </c>
      <c r="EY83" s="2">
        <v>0</v>
      </c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>
        <v>0</v>
      </c>
      <c r="FR83" s="2">
        <f t="shared" si="85"/>
        <v>0</v>
      </c>
      <c r="FS83" s="2">
        <v>0</v>
      </c>
      <c r="FT83" s="2"/>
      <c r="FU83" s="2"/>
      <c r="FV83" s="2"/>
      <c r="FW83" s="2"/>
      <c r="FX83" s="2">
        <v>98.1</v>
      </c>
      <c r="FY83" s="2">
        <v>48.45</v>
      </c>
      <c r="FZ83" s="2"/>
      <c r="GA83" s="2" t="s">
        <v>3</v>
      </c>
      <c r="GB83" s="2"/>
      <c r="GC83" s="2"/>
      <c r="GD83" s="2">
        <v>1</v>
      </c>
      <c r="GE83" s="2"/>
      <c r="GF83" s="2">
        <v>-541611451</v>
      </c>
      <c r="GG83" s="2">
        <v>2</v>
      </c>
      <c r="GH83" s="2">
        <v>1</v>
      </c>
      <c r="GI83" s="2">
        <v>-2</v>
      </c>
      <c r="GJ83" s="2">
        <v>0</v>
      </c>
      <c r="GK83" s="2">
        <v>0</v>
      </c>
      <c r="GL83" s="2">
        <f t="shared" si="86"/>
        <v>0</v>
      </c>
      <c r="GM83" s="2">
        <f t="shared" si="87"/>
        <v>1410.37</v>
      </c>
      <c r="GN83" s="2">
        <f t="shared" si="88"/>
        <v>1410.37</v>
      </c>
      <c r="GO83" s="2">
        <f t="shared" si="89"/>
        <v>0</v>
      </c>
      <c r="GP83" s="2">
        <f t="shared" si="90"/>
        <v>0</v>
      </c>
      <c r="GQ83" s="2"/>
      <c r="GR83" s="2">
        <v>0</v>
      </c>
      <c r="GS83" s="2">
        <v>0</v>
      </c>
      <c r="GT83" s="2">
        <v>0</v>
      </c>
      <c r="GU83" s="2" t="s">
        <v>3</v>
      </c>
      <c r="GV83" s="2">
        <f t="shared" si="91"/>
        <v>0</v>
      </c>
      <c r="GW83" s="2">
        <v>1</v>
      </c>
      <c r="GX83" s="2">
        <f t="shared" si="92"/>
        <v>0</v>
      </c>
      <c r="GY83" s="2"/>
      <c r="GZ83" s="2"/>
      <c r="HA83" s="2">
        <v>0</v>
      </c>
      <c r="HB83" s="2">
        <v>0</v>
      </c>
      <c r="HC83" s="2">
        <f t="shared" si="93"/>
        <v>0</v>
      </c>
      <c r="HD83" s="2"/>
      <c r="HE83" s="2" t="s">
        <v>3</v>
      </c>
      <c r="HF83" s="2" t="s">
        <v>3</v>
      </c>
      <c r="HG83" s="2"/>
      <c r="HH83" s="2"/>
      <c r="HI83" s="2"/>
      <c r="HJ83" s="2"/>
      <c r="HK83" s="2"/>
      <c r="HL83" s="2"/>
      <c r="HM83" s="2" t="s">
        <v>3</v>
      </c>
      <c r="HN83" s="2" t="s">
        <v>124</v>
      </c>
      <c r="HO83" s="2" t="s">
        <v>125</v>
      </c>
      <c r="HP83" s="2" t="s">
        <v>121</v>
      </c>
      <c r="HQ83" s="2" t="s">
        <v>121</v>
      </c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>
        <v>0</v>
      </c>
      <c r="IL83" s="2"/>
      <c r="IM83" s="2"/>
      <c r="IN83" s="2"/>
      <c r="IO83" s="2"/>
      <c r="IP83" s="2"/>
      <c r="IQ83" s="2"/>
      <c r="IR83" s="2"/>
      <c r="IS83" s="2"/>
      <c r="IT83" s="2"/>
      <c r="IU83" s="2"/>
    </row>
    <row r="84" spans="1:245" ht="12.75">
      <c r="A84">
        <v>17</v>
      </c>
      <c r="B84">
        <v>1</v>
      </c>
      <c r="C84">
        <f>ROW(SmtRes!A86)</f>
        <v>86</v>
      </c>
      <c r="D84">
        <f>ROW(EtalonRes!A90)</f>
        <v>90</v>
      </c>
      <c r="E84" t="s">
        <v>147</v>
      </c>
      <c r="F84" t="s">
        <v>148</v>
      </c>
      <c r="G84" t="s">
        <v>149</v>
      </c>
      <c r="H84" t="s">
        <v>24</v>
      </c>
      <c r="I84">
        <f>ROUND(234/100,7)</f>
        <v>2.34</v>
      </c>
      <c r="J84">
        <v>0</v>
      </c>
      <c r="K84">
        <f>ROUND(234/100,7)</f>
        <v>2.34</v>
      </c>
      <c r="O84">
        <f t="shared" si="61"/>
        <v>17384.86</v>
      </c>
      <c r="P84">
        <f t="shared" si="62"/>
        <v>2867.1</v>
      </c>
      <c r="Q84">
        <f t="shared" si="63"/>
        <v>954.45</v>
      </c>
      <c r="R84">
        <f t="shared" si="64"/>
        <v>409.79</v>
      </c>
      <c r="S84">
        <f t="shared" si="65"/>
        <v>13563.31</v>
      </c>
      <c r="T84">
        <f t="shared" si="66"/>
        <v>0</v>
      </c>
      <c r="U84">
        <f t="shared" si="67"/>
        <v>38.642759999999996</v>
      </c>
      <c r="V84">
        <f t="shared" si="68"/>
        <v>0.84825</v>
      </c>
      <c r="W84">
        <f t="shared" si="69"/>
        <v>0</v>
      </c>
      <c r="X84">
        <f t="shared" si="70"/>
        <v>13707.61</v>
      </c>
      <c r="Y84">
        <f t="shared" si="71"/>
        <v>6769.97</v>
      </c>
      <c r="AA84">
        <v>55655399</v>
      </c>
      <c r="AB84">
        <f t="shared" si="72"/>
        <v>368.36</v>
      </c>
      <c r="AC84">
        <f t="shared" si="94"/>
        <v>182.33</v>
      </c>
      <c r="AD84">
        <f t="shared" si="95"/>
        <v>30.8</v>
      </c>
      <c r="AE84">
        <f t="shared" si="96"/>
        <v>4.69</v>
      </c>
      <c r="AF84">
        <f t="shared" si="97"/>
        <v>155.23</v>
      </c>
      <c r="AG84">
        <f t="shared" si="73"/>
        <v>0</v>
      </c>
      <c r="AH84">
        <f t="shared" si="98"/>
        <v>16.514</v>
      </c>
      <c r="AI84">
        <f t="shared" si="99"/>
        <v>0.3625</v>
      </c>
      <c r="AJ84">
        <f t="shared" si="74"/>
        <v>0</v>
      </c>
      <c r="AK84">
        <v>341.95</v>
      </c>
      <c r="AL84">
        <v>182.33</v>
      </c>
      <c r="AM84">
        <v>24.64</v>
      </c>
      <c r="AN84">
        <v>3.75</v>
      </c>
      <c r="AO84">
        <v>134.98</v>
      </c>
      <c r="AP84">
        <v>0</v>
      </c>
      <c r="AQ84">
        <v>14.36</v>
      </c>
      <c r="AR84">
        <v>0.29</v>
      </c>
      <c r="AS84">
        <v>0</v>
      </c>
      <c r="AT84">
        <v>98.1</v>
      </c>
      <c r="AU84">
        <v>48.45</v>
      </c>
      <c r="AV84">
        <v>1</v>
      </c>
      <c r="AW84">
        <v>1</v>
      </c>
      <c r="AZ84">
        <v>1</v>
      </c>
      <c r="BA84">
        <v>37.34</v>
      </c>
      <c r="BB84">
        <v>13.24</v>
      </c>
      <c r="BC84">
        <v>6.72</v>
      </c>
      <c r="BH84">
        <v>0</v>
      </c>
      <c r="BI84">
        <v>1</v>
      </c>
      <c r="BJ84" t="s">
        <v>150</v>
      </c>
      <c r="BM84">
        <v>12001</v>
      </c>
      <c r="BN84">
        <v>0</v>
      </c>
      <c r="BO84" t="s">
        <v>34</v>
      </c>
      <c r="BP84">
        <v>1</v>
      </c>
      <c r="BQ84">
        <v>2</v>
      </c>
      <c r="BR84">
        <v>0</v>
      </c>
      <c r="BS84">
        <v>37.34</v>
      </c>
      <c r="BT84">
        <v>1</v>
      </c>
      <c r="BU84">
        <v>1</v>
      </c>
      <c r="BV84">
        <v>1</v>
      </c>
      <c r="BW84">
        <v>1</v>
      </c>
      <c r="BX84">
        <v>1</v>
      </c>
      <c r="BZ84">
        <v>109</v>
      </c>
      <c r="CA84">
        <v>57</v>
      </c>
      <c r="CE84">
        <v>0</v>
      </c>
      <c r="CF84">
        <v>0</v>
      </c>
      <c r="CG84">
        <v>0</v>
      </c>
      <c r="CM84">
        <v>0</v>
      </c>
      <c r="CN84" t="s">
        <v>350</v>
      </c>
      <c r="CO84">
        <v>0</v>
      </c>
      <c r="CP84">
        <f t="shared" si="75"/>
        <v>17384.86</v>
      </c>
      <c r="CQ84">
        <f t="shared" si="76"/>
        <v>1225.2576000000001</v>
      </c>
      <c r="CR84">
        <f t="shared" si="100"/>
        <v>407.88535</v>
      </c>
      <c r="CS84">
        <f t="shared" si="77"/>
        <v>175.12460000000004</v>
      </c>
      <c r="CT84">
        <f t="shared" si="78"/>
        <v>5796.2882</v>
      </c>
      <c r="CU84">
        <f t="shared" si="79"/>
        <v>0</v>
      </c>
      <c r="CV84">
        <f t="shared" si="80"/>
        <v>16.514</v>
      </c>
      <c r="CW84">
        <f t="shared" si="81"/>
        <v>0.3625</v>
      </c>
      <c r="CX84">
        <f t="shared" si="82"/>
        <v>0</v>
      </c>
      <c r="CY84">
        <f t="shared" si="83"/>
        <v>13707.611099999998</v>
      </c>
      <c r="CZ84">
        <f t="shared" si="84"/>
        <v>6769.966950000001</v>
      </c>
      <c r="DE84" t="s">
        <v>117</v>
      </c>
      <c r="DF84" t="s">
        <v>117</v>
      </c>
      <c r="DG84" t="s">
        <v>118</v>
      </c>
      <c r="DI84" t="s">
        <v>118</v>
      </c>
      <c r="DJ84" t="s">
        <v>117</v>
      </c>
      <c r="DL84" t="s">
        <v>119</v>
      </c>
      <c r="DM84" t="s">
        <v>120</v>
      </c>
      <c r="DN84">
        <v>0</v>
      </c>
      <c r="DO84">
        <v>0</v>
      </c>
      <c r="DP84">
        <v>1</v>
      </c>
      <c r="DQ84">
        <v>1</v>
      </c>
      <c r="DU84">
        <v>1005</v>
      </c>
      <c r="DV84" t="s">
        <v>24</v>
      </c>
      <c r="DW84" t="s">
        <v>24</v>
      </c>
      <c r="DX84">
        <v>100</v>
      </c>
      <c r="EE84">
        <v>55471665</v>
      </c>
      <c r="EF84">
        <v>2</v>
      </c>
      <c r="EG84" t="s">
        <v>28</v>
      </c>
      <c r="EH84">
        <v>12</v>
      </c>
      <c r="EI84" t="s">
        <v>121</v>
      </c>
      <c r="EJ84">
        <v>1</v>
      </c>
      <c r="EK84">
        <v>12001</v>
      </c>
      <c r="EL84" t="s">
        <v>121</v>
      </c>
      <c r="EM84" t="s">
        <v>122</v>
      </c>
      <c r="EO84" t="s">
        <v>123</v>
      </c>
      <c r="EQ84">
        <v>0</v>
      </c>
      <c r="ER84">
        <v>341.95</v>
      </c>
      <c r="ES84">
        <v>182.33</v>
      </c>
      <c r="ET84">
        <v>24.64</v>
      </c>
      <c r="EU84">
        <v>3.75</v>
      </c>
      <c r="EV84">
        <v>134.98</v>
      </c>
      <c r="EW84">
        <v>14.36</v>
      </c>
      <c r="EX84">
        <v>0.29</v>
      </c>
      <c r="EY84">
        <v>0</v>
      </c>
      <c r="FQ84">
        <v>0</v>
      </c>
      <c r="FR84">
        <f t="shared" si="85"/>
        <v>0</v>
      </c>
      <c r="FS84">
        <v>0</v>
      </c>
      <c r="FX84">
        <v>98.1</v>
      </c>
      <c r="FY84">
        <v>48.45</v>
      </c>
      <c r="GD84">
        <v>1</v>
      </c>
      <c r="GF84">
        <v>-541611451</v>
      </c>
      <c r="GG84">
        <v>2</v>
      </c>
      <c r="GH84">
        <v>1</v>
      </c>
      <c r="GI84">
        <v>4</v>
      </c>
      <c r="GJ84">
        <v>0</v>
      </c>
      <c r="GK84">
        <v>0</v>
      </c>
      <c r="GL84">
        <f t="shared" si="86"/>
        <v>0</v>
      </c>
      <c r="GM84">
        <f t="shared" si="87"/>
        <v>37862.44</v>
      </c>
      <c r="GN84">
        <f t="shared" si="88"/>
        <v>37862.44</v>
      </c>
      <c r="GO84">
        <f t="shared" si="89"/>
        <v>0</v>
      </c>
      <c r="GP84">
        <f t="shared" si="90"/>
        <v>0</v>
      </c>
      <c r="GR84">
        <v>0</v>
      </c>
      <c r="GS84">
        <v>0</v>
      </c>
      <c r="GT84">
        <v>0</v>
      </c>
      <c r="GV84">
        <f t="shared" si="91"/>
        <v>0</v>
      </c>
      <c r="GW84">
        <v>1</v>
      </c>
      <c r="GX84">
        <f t="shared" si="92"/>
        <v>0</v>
      </c>
      <c r="HA84">
        <v>0</v>
      </c>
      <c r="HB84">
        <v>0</v>
      </c>
      <c r="HC84">
        <f t="shared" si="93"/>
        <v>0</v>
      </c>
      <c r="HN84" t="s">
        <v>124</v>
      </c>
      <c r="HO84" t="s">
        <v>125</v>
      </c>
      <c r="HP84" t="s">
        <v>121</v>
      </c>
      <c r="HQ84" t="s">
        <v>121</v>
      </c>
      <c r="IK84">
        <v>0</v>
      </c>
    </row>
    <row r="85" spans="1:255" ht="12.75">
      <c r="A85" s="2">
        <v>18</v>
      </c>
      <c r="B85" s="2">
        <v>1</v>
      </c>
      <c r="C85" s="2">
        <v>78</v>
      </c>
      <c r="D85" s="2"/>
      <c r="E85" s="2" t="s">
        <v>151</v>
      </c>
      <c r="F85" s="2" t="s">
        <v>152</v>
      </c>
      <c r="G85" s="2" t="s">
        <v>153</v>
      </c>
      <c r="H85" s="2" t="s">
        <v>154</v>
      </c>
      <c r="I85" s="2">
        <f>I83*J85</f>
        <v>271.44</v>
      </c>
      <c r="J85" s="2">
        <v>116</v>
      </c>
      <c r="K85" s="2">
        <v>116</v>
      </c>
      <c r="L85" s="2"/>
      <c r="M85" s="2"/>
      <c r="N85" s="2"/>
      <c r="O85" s="2">
        <f t="shared" si="61"/>
        <v>6259.41</v>
      </c>
      <c r="P85" s="2">
        <f t="shared" si="62"/>
        <v>6259.41</v>
      </c>
      <c r="Q85" s="2">
        <f t="shared" si="63"/>
        <v>0</v>
      </c>
      <c r="R85" s="2">
        <f t="shared" si="64"/>
        <v>0</v>
      </c>
      <c r="S85" s="2">
        <f t="shared" si="65"/>
        <v>0</v>
      </c>
      <c r="T85" s="2">
        <f t="shared" si="66"/>
        <v>0</v>
      </c>
      <c r="U85" s="2">
        <f t="shared" si="67"/>
        <v>0</v>
      </c>
      <c r="V85" s="2">
        <f t="shared" si="68"/>
        <v>0</v>
      </c>
      <c r="W85" s="2">
        <f t="shared" si="69"/>
        <v>0</v>
      </c>
      <c r="X85" s="2">
        <f t="shared" si="70"/>
        <v>0</v>
      </c>
      <c r="Y85" s="2">
        <f t="shared" si="71"/>
        <v>0</v>
      </c>
      <c r="Z85" s="2"/>
      <c r="AA85" s="2">
        <v>55655398</v>
      </c>
      <c r="AB85" s="2">
        <f t="shared" si="72"/>
        <v>23.06</v>
      </c>
      <c r="AC85" s="2">
        <f t="shared" si="94"/>
        <v>23.06</v>
      </c>
      <c r="AD85" s="2">
        <f>ROUND((((ET85)-(EU85))+AE85),2)</f>
        <v>0</v>
      </c>
      <c r="AE85" s="2">
        <f aca="true" t="shared" si="101" ref="AE85:AF88">ROUND((EU85),2)</f>
        <v>0</v>
      </c>
      <c r="AF85" s="2">
        <f t="shared" si="101"/>
        <v>0</v>
      </c>
      <c r="AG85" s="2">
        <f t="shared" si="73"/>
        <v>0</v>
      </c>
      <c r="AH85" s="2">
        <f aca="true" t="shared" si="102" ref="AH85:AI88">(EW85)</f>
        <v>0</v>
      </c>
      <c r="AI85" s="2">
        <f t="shared" si="102"/>
        <v>0</v>
      </c>
      <c r="AJ85" s="2">
        <f t="shared" si="74"/>
        <v>0</v>
      </c>
      <c r="AK85" s="2">
        <v>23.06</v>
      </c>
      <c r="AL85" s="2">
        <v>23.06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109</v>
      </c>
      <c r="AU85" s="2">
        <v>57</v>
      </c>
      <c r="AV85" s="2">
        <v>1</v>
      </c>
      <c r="AW85" s="2">
        <v>1</v>
      </c>
      <c r="AX85" s="2"/>
      <c r="AY85" s="2"/>
      <c r="AZ85" s="2">
        <v>1</v>
      </c>
      <c r="BA85" s="2">
        <v>1</v>
      </c>
      <c r="BB85" s="2">
        <v>1</v>
      </c>
      <c r="BC85" s="2">
        <v>1</v>
      </c>
      <c r="BD85" s="2" t="s">
        <v>3</v>
      </c>
      <c r="BE85" s="2" t="s">
        <v>3</v>
      </c>
      <c r="BF85" s="2" t="s">
        <v>3</v>
      </c>
      <c r="BG85" s="2" t="s">
        <v>3</v>
      </c>
      <c r="BH85" s="2">
        <v>3</v>
      </c>
      <c r="BI85" s="2">
        <v>1</v>
      </c>
      <c r="BJ85" s="2" t="s">
        <v>155</v>
      </c>
      <c r="BK85" s="2"/>
      <c r="BL85" s="2"/>
      <c r="BM85" s="2">
        <v>12001</v>
      </c>
      <c r="BN85" s="2">
        <v>0</v>
      </c>
      <c r="BO85" s="2" t="s">
        <v>3</v>
      </c>
      <c r="BP85" s="2">
        <v>0</v>
      </c>
      <c r="BQ85" s="2">
        <v>2</v>
      </c>
      <c r="BR85" s="2">
        <v>0</v>
      </c>
      <c r="BS85" s="2">
        <v>1</v>
      </c>
      <c r="BT85" s="2">
        <v>1</v>
      </c>
      <c r="BU85" s="2">
        <v>1</v>
      </c>
      <c r="BV85" s="2">
        <v>1</v>
      </c>
      <c r="BW85" s="2">
        <v>1</v>
      </c>
      <c r="BX85" s="2">
        <v>1</v>
      </c>
      <c r="BY85" s="2" t="s">
        <v>3</v>
      </c>
      <c r="BZ85" s="2">
        <v>109</v>
      </c>
      <c r="CA85" s="2">
        <v>57</v>
      </c>
      <c r="CB85" s="2" t="s">
        <v>3</v>
      </c>
      <c r="CC85" s="2"/>
      <c r="CD85" s="2"/>
      <c r="CE85" s="2">
        <v>0</v>
      </c>
      <c r="CF85" s="2">
        <v>0</v>
      </c>
      <c r="CG85" s="2">
        <v>0</v>
      </c>
      <c r="CH85" s="2"/>
      <c r="CI85" s="2"/>
      <c r="CJ85" s="2"/>
      <c r="CK85" s="2"/>
      <c r="CL85" s="2"/>
      <c r="CM85" s="2">
        <v>0</v>
      </c>
      <c r="CN85" s="2" t="s">
        <v>3</v>
      </c>
      <c r="CO85" s="2">
        <v>0</v>
      </c>
      <c r="CP85" s="2">
        <f t="shared" si="75"/>
        <v>6259.41</v>
      </c>
      <c r="CQ85" s="2">
        <f t="shared" si="76"/>
        <v>23.06</v>
      </c>
      <c r="CR85" s="2">
        <f>(((ET85)*BB85-(EU85)*BS85)+AE85*BS85)</f>
        <v>0</v>
      </c>
      <c r="CS85" s="2">
        <f t="shared" si="77"/>
        <v>0</v>
      </c>
      <c r="CT85" s="2">
        <f t="shared" si="78"/>
        <v>0</v>
      </c>
      <c r="CU85" s="2">
        <f t="shared" si="79"/>
        <v>0</v>
      </c>
      <c r="CV85" s="2">
        <f t="shared" si="80"/>
        <v>0</v>
      </c>
      <c r="CW85" s="2">
        <f t="shared" si="81"/>
        <v>0</v>
      </c>
      <c r="CX85" s="2">
        <f t="shared" si="82"/>
        <v>0</v>
      </c>
      <c r="CY85" s="2">
        <f t="shared" si="83"/>
        <v>0</v>
      </c>
      <c r="CZ85" s="2">
        <f t="shared" si="84"/>
        <v>0</v>
      </c>
      <c r="DA85" s="2"/>
      <c r="DB85" s="2"/>
      <c r="DC85" s="2" t="s">
        <v>3</v>
      </c>
      <c r="DD85" s="2" t="s">
        <v>3</v>
      </c>
      <c r="DE85" s="2" t="s">
        <v>3</v>
      </c>
      <c r="DF85" s="2" t="s">
        <v>3</v>
      </c>
      <c r="DG85" s="2" t="s">
        <v>3</v>
      </c>
      <c r="DH85" s="2" t="s">
        <v>3</v>
      </c>
      <c r="DI85" s="2" t="s">
        <v>3</v>
      </c>
      <c r="DJ85" s="2" t="s">
        <v>3</v>
      </c>
      <c r="DK85" s="2" t="s">
        <v>3</v>
      </c>
      <c r="DL85" s="2" t="s">
        <v>3</v>
      </c>
      <c r="DM85" s="2" t="s">
        <v>3</v>
      </c>
      <c r="DN85" s="2">
        <v>0</v>
      </c>
      <c r="DO85" s="2">
        <v>0</v>
      </c>
      <c r="DP85" s="2">
        <v>1</v>
      </c>
      <c r="DQ85" s="2">
        <v>1</v>
      </c>
      <c r="DR85" s="2"/>
      <c r="DS85" s="2"/>
      <c r="DT85" s="2"/>
      <c r="DU85" s="2">
        <v>1005</v>
      </c>
      <c r="DV85" s="2" t="s">
        <v>154</v>
      </c>
      <c r="DW85" s="2" t="s">
        <v>154</v>
      </c>
      <c r="DX85" s="2">
        <v>1</v>
      </c>
      <c r="DY85" s="2"/>
      <c r="DZ85" s="2" t="s">
        <v>3</v>
      </c>
      <c r="EA85" s="2" t="s">
        <v>3</v>
      </c>
      <c r="EB85" s="2" t="s">
        <v>3</v>
      </c>
      <c r="EC85" s="2" t="s">
        <v>3</v>
      </c>
      <c r="ED85" s="2"/>
      <c r="EE85" s="2">
        <v>55471665</v>
      </c>
      <c r="EF85" s="2">
        <v>2</v>
      </c>
      <c r="EG85" s="2" t="s">
        <v>28</v>
      </c>
      <c r="EH85" s="2">
        <v>12</v>
      </c>
      <c r="EI85" s="2" t="s">
        <v>121</v>
      </c>
      <c r="EJ85" s="2">
        <v>1</v>
      </c>
      <c r="EK85" s="2">
        <v>12001</v>
      </c>
      <c r="EL85" s="2" t="s">
        <v>121</v>
      </c>
      <c r="EM85" s="2" t="s">
        <v>122</v>
      </c>
      <c r="EN85" s="2"/>
      <c r="EO85" s="2" t="s">
        <v>3</v>
      </c>
      <c r="EP85" s="2"/>
      <c r="EQ85" s="2">
        <v>0</v>
      </c>
      <c r="ER85" s="2">
        <v>23.06</v>
      </c>
      <c r="ES85" s="2">
        <v>23.06</v>
      </c>
      <c r="ET85" s="2">
        <v>0</v>
      </c>
      <c r="EU85" s="2">
        <v>0</v>
      </c>
      <c r="EV85" s="2">
        <v>0</v>
      </c>
      <c r="EW85" s="2">
        <v>0</v>
      </c>
      <c r="EX85" s="2">
        <v>0</v>
      </c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>
        <v>0</v>
      </c>
      <c r="FR85" s="2">
        <f t="shared" si="85"/>
        <v>0</v>
      </c>
      <c r="FS85" s="2">
        <v>0</v>
      </c>
      <c r="FT85" s="2"/>
      <c r="FU85" s="2"/>
      <c r="FV85" s="2"/>
      <c r="FW85" s="2"/>
      <c r="FX85" s="2">
        <v>109</v>
      </c>
      <c r="FY85" s="2">
        <v>57</v>
      </c>
      <c r="FZ85" s="2"/>
      <c r="GA85" s="2" t="s">
        <v>3</v>
      </c>
      <c r="GB85" s="2"/>
      <c r="GC85" s="2"/>
      <c r="GD85" s="2">
        <v>1</v>
      </c>
      <c r="GE85" s="2"/>
      <c r="GF85" s="2">
        <v>-211967687</v>
      </c>
      <c r="GG85" s="2">
        <v>2</v>
      </c>
      <c r="GH85" s="2">
        <v>1</v>
      </c>
      <c r="GI85" s="2">
        <v>-2</v>
      </c>
      <c r="GJ85" s="2">
        <v>0</v>
      </c>
      <c r="GK85" s="2">
        <v>0</v>
      </c>
      <c r="GL85" s="2">
        <f t="shared" si="86"/>
        <v>0</v>
      </c>
      <c r="GM85" s="2">
        <f t="shared" si="87"/>
        <v>6259.41</v>
      </c>
      <c r="GN85" s="2">
        <f t="shared" si="88"/>
        <v>6259.41</v>
      </c>
      <c r="GO85" s="2">
        <f t="shared" si="89"/>
        <v>0</v>
      </c>
      <c r="GP85" s="2">
        <f t="shared" si="90"/>
        <v>0</v>
      </c>
      <c r="GQ85" s="2"/>
      <c r="GR85" s="2">
        <v>0</v>
      </c>
      <c r="GS85" s="2">
        <v>3</v>
      </c>
      <c r="GT85" s="2">
        <v>0</v>
      </c>
      <c r="GU85" s="2" t="s">
        <v>3</v>
      </c>
      <c r="GV85" s="2">
        <f t="shared" si="91"/>
        <v>0</v>
      </c>
      <c r="GW85" s="2">
        <v>1</v>
      </c>
      <c r="GX85" s="2">
        <f t="shared" si="92"/>
        <v>0</v>
      </c>
      <c r="GY85" s="2"/>
      <c r="GZ85" s="2"/>
      <c r="HA85" s="2">
        <v>0</v>
      </c>
      <c r="HB85" s="2">
        <v>0</v>
      </c>
      <c r="HC85" s="2">
        <f t="shared" si="93"/>
        <v>0</v>
      </c>
      <c r="HD85" s="2"/>
      <c r="HE85" s="2" t="s">
        <v>3</v>
      </c>
      <c r="HF85" s="2" t="s">
        <v>3</v>
      </c>
      <c r="HG85" s="2"/>
      <c r="HH85" s="2"/>
      <c r="HI85" s="2"/>
      <c r="HJ85" s="2"/>
      <c r="HK85" s="2"/>
      <c r="HL85" s="2"/>
      <c r="HM85" s="2" t="s">
        <v>3</v>
      </c>
      <c r="HN85" s="2" t="s">
        <v>124</v>
      </c>
      <c r="HO85" s="2" t="s">
        <v>125</v>
      </c>
      <c r="HP85" s="2" t="s">
        <v>121</v>
      </c>
      <c r="HQ85" s="2" t="s">
        <v>121</v>
      </c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>
        <v>0</v>
      </c>
      <c r="IL85" s="2"/>
      <c r="IM85" s="2"/>
      <c r="IN85" s="2"/>
      <c r="IO85" s="2"/>
      <c r="IP85" s="2"/>
      <c r="IQ85" s="2"/>
      <c r="IR85" s="2"/>
      <c r="IS85" s="2"/>
      <c r="IT85" s="2"/>
      <c r="IU85" s="2"/>
    </row>
    <row r="86" spans="1:245" ht="12.75">
      <c r="A86">
        <v>18</v>
      </c>
      <c r="B86">
        <v>1</v>
      </c>
      <c r="C86">
        <v>86</v>
      </c>
      <c r="E86" t="s">
        <v>151</v>
      </c>
      <c r="F86" t="s">
        <v>152</v>
      </c>
      <c r="G86" t="s">
        <v>153</v>
      </c>
      <c r="H86" t="s">
        <v>154</v>
      </c>
      <c r="I86">
        <f>I84*J86</f>
        <v>271.44</v>
      </c>
      <c r="J86">
        <v>116</v>
      </c>
      <c r="K86">
        <v>116</v>
      </c>
      <c r="O86">
        <f t="shared" si="61"/>
        <v>42063.21</v>
      </c>
      <c r="P86">
        <f t="shared" si="62"/>
        <v>42063.21</v>
      </c>
      <c r="Q86">
        <f t="shared" si="63"/>
        <v>0</v>
      </c>
      <c r="R86">
        <f t="shared" si="64"/>
        <v>0</v>
      </c>
      <c r="S86">
        <f t="shared" si="65"/>
        <v>0</v>
      </c>
      <c r="T86">
        <f t="shared" si="66"/>
        <v>0</v>
      </c>
      <c r="U86">
        <f t="shared" si="67"/>
        <v>0</v>
      </c>
      <c r="V86">
        <f t="shared" si="68"/>
        <v>0</v>
      </c>
      <c r="W86">
        <f t="shared" si="69"/>
        <v>0</v>
      </c>
      <c r="X86">
        <f t="shared" si="70"/>
        <v>0</v>
      </c>
      <c r="Y86">
        <f t="shared" si="71"/>
        <v>0</v>
      </c>
      <c r="AA86">
        <v>55655399</v>
      </c>
      <c r="AB86">
        <f t="shared" si="72"/>
        <v>23.06</v>
      </c>
      <c r="AC86">
        <f t="shared" si="94"/>
        <v>23.06</v>
      </c>
      <c r="AD86">
        <f>ROUND((((ET86)-(EU86))+AE86),2)</f>
        <v>0</v>
      </c>
      <c r="AE86">
        <f t="shared" si="101"/>
        <v>0</v>
      </c>
      <c r="AF86">
        <f t="shared" si="101"/>
        <v>0</v>
      </c>
      <c r="AG86">
        <f t="shared" si="73"/>
        <v>0</v>
      </c>
      <c r="AH86">
        <f t="shared" si="102"/>
        <v>0</v>
      </c>
      <c r="AI86">
        <f t="shared" si="102"/>
        <v>0</v>
      </c>
      <c r="AJ86">
        <f t="shared" si="74"/>
        <v>0</v>
      </c>
      <c r="AK86">
        <v>23.06</v>
      </c>
      <c r="AL86">
        <v>23.06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109</v>
      </c>
      <c r="AU86">
        <v>57</v>
      </c>
      <c r="AV86">
        <v>1</v>
      </c>
      <c r="AW86">
        <v>1</v>
      </c>
      <c r="AZ86">
        <v>1</v>
      </c>
      <c r="BA86">
        <v>1</v>
      </c>
      <c r="BB86">
        <v>1</v>
      </c>
      <c r="BC86">
        <v>6.72</v>
      </c>
      <c r="BH86">
        <v>3</v>
      </c>
      <c r="BI86">
        <v>1</v>
      </c>
      <c r="BJ86" t="s">
        <v>155</v>
      </c>
      <c r="BM86">
        <v>12001</v>
      </c>
      <c r="BN86">
        <v>0</v>
      </c>
      <c r="BO86" t="s">
        <v>34</v>
      </c>
      <c r="BP86">
        <v>1</v>
      </c>
      <c r="BQ86">
        <v>2</v>
      </c>
      <c r="BR86">
        <v>0</v>
      </c>
      <c r="BS86">
        <v>1</v>
      </c>
      <c r="BT86">
        <v>1</v>
      </c>
      <c r="BU86">
        <v>1</v>
      </c>
      <c r="BV86">
        <v>1</v>
      </c>
      <c r="BW86">
        <v>1</v>
      </c>
      <c r="BX86">
        <v>1</v>
      </c>
      <c r="BZ86">
        <v>109</v>
      </c>
      <c r="CA86">
        <v>57</v>
      </c>
      <c r="CE86">
        <v>0</v>
      </c>
      <c r="CF86">
        <v>0</v>
      </c>
      <c r="CG86">
        <v>0</v>
      </c>
      <c r="CM86">
        <v>0</v>
      </c>
      <c r="CO86">
        <v>0</v>
      </c>
      <c r="CP86">
        <f t="shared" si="75"/>
        <v>42063.21</v>
      </c>
      <c r="CQ86">
        <f t="shared" si="76"/>
        <v>154.96319999999997</v>
      </c>
      <c r="CR86">
        <f>(((ET86)*BB86-(EU86)*BS86)+AE86*BS86)</f>
        <v>0</v>
      </c>
      <c r="CS86">
        <f t="shared" si="77"/>
        <v>0</v>
      </c>
      <c r="CT86">
        <f t="shared" si="78"/>
        <v>0</v>
      </c>
      <c r="CU86">
        <f t="shared" si="79"/>
        <v>0</v>
      </c>
      <c r="CV86">
        <f t="shared" si="80"/>
        <v>0</v>
      </c>
      <c r="CW86">
        <f t="shared" si="81"/>
        <v>0</v>
      </c>
      <c r="CX86">
        <f t="shared" si="82"/>
        <v>0</v>
      </c>
      <c r="CY86">
        <f t="shared" si="83"/>
        <v>0</v>
      </c>
      <c r="CZ86">
        <f t="shared" si="84"/>
        <v>0</v>
      </c>
      <c r="DN86">
        <v>0</v>
      </c>
      <c r="DO86">
        <v>0</v>
      </c>
      <c r="DP86">
        <v>1</v>
      </c>
      <c r="DQ86">
        <v>1</v>
      </c>
      <c r="DU86">
        <v>1005</v>
      </c>
      <c r="DV86" t="s">
        <v>154</v>
      </c>
      <c r="DW86" t="s">
        <v>154</v>
      </c>
      <c r="DX86">
        <v>1</v>
      </c>
      <c r="EE86">
        <v>55471665</v>
      </c>
      <c r="EF86">
        <v>2</v>
      </c>
      <c r="EG86" t="s">
        <v>28</v>
      </c>
      <c r="EH86">
        <v>12</v>
      </c>
      <c r="EI86" t="s">
        <v>121</v>
      </c>
      <c r="EJ86">
        <v>1</v>
      </c>
      <c r="EK86">
        <v>12001</v>
      </c>
      <c r="EL86" t="s">
        <v>121</v>
      </c>
      <c r="EM86" t="s">
        <v>122</v>
      </c>
      <c r="EQ86">
        <v>0</v>
      </c>
      <c r="ER86">
        <v>23.06</v>
      </c>
      <c r="ES86">
        <v>23.06</v>
      </c>
      <c r="ET86">
        <v>0</v>
      </c>
      <c r="EU86">
        <v>0</v>
      </c>
      <c r="EV86">
        <v>0</v>
      </c>
      <c r="EW86">
        <v>0</v>
      </c>
      <c r="EX86">
        <v>0</v>
      </c>
      <c r="FQ86">
        <v>0</v>
      </c>
      <c r="FR86">
        <f t="shared" si="85"/>
        <v>0</v>
      </c>
      <c r="FS86">
        <v>0</v>
      </c>
      <c r="FX86">
        <v>109</v>
      </c>
      <c r="FY86">
        <v>57</v>
      </c>
      <c r="GD86">
        <v>1</v>
      </c>
      <c r="GF86">
        <v>-211967687</v>
      </c>
      <c r="GG86">
        <v>2</v>
      </c>
      <c r="GH86">
        <v>1</v>
      </c>
      <c r="GI86">
        <v>4</v>
      </c>
      <c r="GJ86">
        <v>0</v>
      </c>
      <c r="GK86">
        <v>0</v>
      </c>
      <c r="GL86">
        <f t="shared" si="86"/>
        <v>0</v>
      </c>
      <c r="GM86">
        <f t="shared" si="87"/>
        <v>42063.21</v>
      </c>
      <c r="GN86">
        <f t="shared" si="88"/>
        <v>42063.21</v>
      </c>
      <c r="GO86">
        <f t="shared" si="89"/>
        <v>0</v>
      </c>
      <c r="GP86">
        <f t="shared" si="90"/>
        <v>0</v>
      </c>
      <c r="GR86">
        <v>0</v>
      </c>
      <c r="GS86">
        <v>3</v>
      </c>
      <c r="GT86">
        <v>0</v>
      </c>
      <c r="GV86">
        <f t="shared" si="91"/>
        <v>0</v>
      </c>
      <c r="GW86">
        <v>1</v>
      </c>
      <c r="GX86">
        <f t="shared" si="92"/>
        <v>0</v>
      </c>
      <c r="HA86">
        <v>0</v>
      </c>
      <c r="HB86">
        <v>0</v>
      </c>
      <c r="HC86">
        <f t="shared" si="93"/>
        <v>0</v>
      </c>
      <c r="HN86" t="s">
        <v>124</v>
      </c>
      <c r="HO86" t="s">
        <v>125</v>
      </c>
      <c r="HP86" t="s">
        <v>121</v>
      </c>
      <c r="HQ86" t="s">
        <v>121</v>
      </c>
      <c r="IK86">
        <v>0</v>
      </c>
    </row>
    <row r="87" spans="1:255" ht="12.75">
      <c r="A87" s="2">
        <v>18</v>
      </c>
      <c r="B87" s="2">
        <v>1</v>
      </c>
      <c r="C87" s="2">
        <v>77</v>
      </c>
      <c r="D87" s="2"/>
      <c r="E87" s="2" t="s">
        <v>156</v>
      </c>
      <c r="F87" s="2" t="s">
        <v>157</v>
      </c>
      <c r="G87" s="2" t="s">
        <v>158</v>
      </c>
      <c r="H87" s="2" t="s">
        <v>154</v>
      </c>
      <c r="I87" s="2">
        <f>I83*J87</f>
        <v>266.76</v>
      </c>
      <c r="J87" s="2">
        <v>114</v>
      </c>
      <c r="K87" s="2">
        <v>114</v>
      </c>
      <c r="L87" s="2"/>
      <c r="M87" s="2"/>
      <c r="N87" s="2"/>
      <c r="O87" s="2">
        <f t="shared" si="61"/>
        <v>6693.01</v>
      </c>
      <c r="P87" s="2">
        <f t="shared" si="62"/>
        <v>6693.01</v>
      </c>
      <c r="Q87" s="2">
        <f t="shared" si="63"/>
        <v>0</v>
      </c>
      <c r="R87" s="2">
        <f t="shared" si="64"/>
        <v>0</v>
      </c>
      <c r="S87" s="2">
        <f t="shared" si="65"/>
        <v>0</v>
      </c>
      <c r="T87" s="2">
        <f t="shared" si="66"/>
        <v>0</v>
      </c>
      <c r="U87" s="2">
        <f t="shared" si="67"/>
        <v>0</v>
      </c>
      <c r="V87" s="2">
        <f t="shared" si="68"/>
        <v>0</v>
      </c>
      <c r="W87" s="2">
        <f t="shared" si="69"/>
        <v>0</v>
      </c>
      <c r="X87" s="2">
        <f t="shared" si="70"/>
        <v>0</v>
      </c>
      <c r="Y87" s="2">
        <f t="shared" si="71"/>
        <v>0</v>
      </c>
      <c r="Z87" s="2"/>
      <c r="AA87" s="2">
        <v>55655398</v>
      </c>
      <c r="AB87" s="2">
        <f t="shared" si="72"/>
        <v>25.09</v>
      </c>
      <c r="AC87" s="2">
        <f t="shared" si="94"/>
        <v>25.09</v>
      </c>
      <c r="AD87" s="2">
        <f>ROUND((((ET87)-(EU87))+AE87),2)</f>
        <v>0</v>
      </c>
      <c r="AE87" s="2">
        <f t="shared" si="101"/>
        <v>0</v>
      </c>
      <c r="AF87" s="2">
        <f t="shared" si="101"/>
        <v>0</v>
      </c>
      <c r="AG87" s="2">
        <f t="shared" si="73"/>
        <v>0</v>
      </c>
      <c r="AH87" s="2">
        <f t="shared" si="102"/>
        <v>0</v>
      </c>
      <c r="AI87" s="2">
        <f t="shared" si="102"/>
        <v>0</v>
      </c>
      <c r="AJ87" s="2">
        <f t="shared" si="74"/>
        <v>0</v>
      </c>
      <c r="AK87" s="2">
        <v>25.09</v>
      </c>
      <c r="AL87" s="2">
        <v>25.09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109</v>
      </c>
      <c r="AU87" s="2">
        <v>57</v>
      </c>
      <c r="AV87" s="2">
        <v>1</v>
      </c>
      <c r="AW87" s="2">
        <v>1</v>
      </c>
      <c r="AX87" s="2"/>
      <c r="AY87" s="2"/>
      <c r="AZ87" s="2">
        <v>1</v>
      </c>
      <c r="BA87" s="2">
        <v>1</v>
      </c>
      <c r="BB87" s="2">
        <v>1</v>
      </c>
      <c r="BC87" s="2">
        <v>1</v>
      </c>
      <c r="BD87" s="2" t="s">
        <v>3</v>
      </c>
      <c r="BE87" s="2" t="s">
        <v>3</v>
      </c>
      <c r="BF87" s="2" t="s">
        <v>3</v>
      </c>
      <c r="BG87" s="2" t="s">
        <v>3</v>
      </c>
      <c r="BH87" s="2">
        <v>3</v>
      </c>
      <c r="BI87" s="2">
        <v>1</v>
      </c>
      <c r="BJ87" s="2" t="s">
        <v>159</v>
      </c>
      <c r="BK87" s="2"/>
      <c r="BL87" s="2"/>
      <c r="BM87" s="2">
        <v>12001</v>
      </c>
      <c r="BN87" s="2">
        <v>0</v>
      </c>
      <c r="BO87" s="2" t="s">
        <v>3</v>
      </c>
      <c r="BP87" s="2">
        <v>0</v>
      </c>
      <c r="BQ87" s="2">
        <v>2</v>
      </c>
      <c r="BR87" s="2">
        <v>0</v>
      </c>
      <c r="BS87" s="2">
        <v>1</v>
      </c>
      <c r="BT87" s="2">
        <v>1</v>
      </c>
      <c r="BU87" s="2">
        <v>1</v>
      </c>
      <c r="BV87" s="2">
        <v>1</v>
      </c>
      <c r="BW87" s="2">
        <v>1</v>
      </c>
      <c r="BX87" s="2">
        <v>1</v>
      </c>
      <c r="BY87" s="2" t="s">
        <v>3</v>
      </c>
      <c r="BZ87" s="2">
        <v>109</v>
      </c>
      <c r="CA87" s="2">
        <v>57</v>
      </c>
      <c r="CB87" s="2" t="s">
        <v>3</v>
      </c>
      <c r="CC87" s="2"/>
      <c r="CD87" s="2"/>
      <c r="CE87" s="2">
        <v>0</v>
      </c>
      <c r="CF87" s="2">
        <v>0</v>
      </c>
      <c r="CG87" s="2">
        <v>0</v>
      </c>
      <c r="CH87" s="2"/>
      <c r="CI87" s="2"/>
      <c r="CJ87" s="2"/>
      <c r="CK87" s="2"/>
      <c r="CL87" s="2"/>
      <c r="CM87" s="2">
        <v>0</v>
      </c>
      <c r="CN87" s="2" t="s">
        <v>3</v>
      </c>
      <c r="CO87" s="2">
        <v>0</v>
      </c>
      <c r="CP87" s="2">
        <f t="shared" si="75"/>
        <v>6693.01</v>
      </c>
      <c r="CQ87" s="2">
        <f t="shared" si="76"/>
        <v>25.09</v>
      </c>
      <c r="CR87" s="2">
        <f>(((ET87)*BB87-(EU87)*BS87)+AE87*BS87)</f>
        <v>0</v>
      </c>
      <c r="CS87" s="2">
        <f t="shared" si="77"/>
        <v>0</v>
      </c>
      <c r="CT87" s="2">
        <f t="shared" si="78"/>
        <v>0</v>
      </c>
      <c r="CU87" s="2">
        <f t="shared" si="79"/>
        <v>0</v>
      </c>
      <c r="CV87" s="2">
        <f t="shared" si="80"/>
        <v>0</v>
      </c>
      <c r="CW87" s="2">
        <f t="shared" si="81"/>
        <v>0</v>
      </c>
      <c r="CX87" s="2">
        <f t="shared" si="82"/>
        <v>0</v>
      </c>
      <c r="CY87" s="2">
        <f t="shared" si="83"/>
        <v>0</v>
      </c>
      <c r="CZ87" s="2">
        <f t="shared" si="84"/>
        <v>0</v>
      </c>
      <c r="DA87" s="2"/>
      <c r="DB87" s="2"/>
      <c r="DC87" s="2" t="s">
        <v>3</v>
      </c>
      <c r="DD87" s="2" t="s">
        <v>3</v>
      </c>
      <c r="DE87" s="2" t="s">
        <v>3</v>
      </c>
      <c r="DF87" s="2" t="s">
        <v>3</v>
      </c>
      <c r="DG87" s="2" t="s">
        <v>3</v>
      </c>
      <c r="DH87" s="2" t="s">
        <v>3</v>
      </c>
      <c r="DI87" s="2" t="s">
        <v>3</v>
      </c>
      <c r="DJ87" s="2" t="s">
        <v>3</v>
      </c>
      <c r="DK87" s="2" t="s">
        <v>3</v>
      </c>
      <c r="DL87" s="2" t="s">
        <v>3</v>
      </c>
      <c r="DM87" s="2" t="s">
        <v>3</v>
      </c>
      <c r="DN87" s="2">
        <v>0</v>
      </c>
      <c r="DO87" s="2">
        <v>0</v>
      </c>
      <c r="DP87" s="2">
        <v>1</v>
      </c>
      <c r="DQ87" s="2">
        <v>1</v>
      </c>
      <c r="DR87" s="2"/>
      <c r="DS87" s="2"/>
      <c r="DT87" s="2"/>
      <c r="DU87" s="2">
        <v>1005</v>
      </c>
      <c r="DV87" s="2" t="s">
        <v>154</v>
      </c>
      <c r="DW87" s="2" t="s">
        <v>154</v>
      </c>
      <c r="DX87" s="2">
        <v>1</v>
      </c>
      <c r="DY87" s="2"/>
      <c r="DZ87" s="2" t="s">
        <v>3</v>
      </c>
      <c r="EA87" s="2" t="s">
        <v>3</v>
      </c>
      <c r="EB87" s="2" t="s">
        <v>3</v>
      </c>
      <c r="EC87" s="2" t="s">
        <v>3</v>
      </c>
      <c r="ED87" s="2"/>
      <c r="EE87" s="2">
        <v>55471665</v>
      </c>
      <c r="EF87" s="2">
        <v>2</v>
      </c>
      <c r="EG87" s="2" t="s">
        <v>28</v>
      </c>
      <c r="EH87" s="2">
        <v>12</v>
      </c>
      <c r="EI87" s="2" t="s">
        <v>121</v>
      </c>
      <c r="EJ87" s="2">
        <v>1</v>
      </c>
      <c r="EK87" s="2">
        <v>12001</v>
      </c>
      <c r="EL87" s="2" t="s">
        <v>121</v>
      </c>
      <c r="EM87" s="2" t="s">
        <v>122</v>
      </c>
      <c r="EN87" s="2"/>
      <c r="EO87" s="2" t="s">
        <v>3</v>
      </c>
      <c r="EP87" s="2"/>
      <c r="EQ87" s="2">
        <v>0</v>
      </c>
      <c r="ER87" s="2">
        <v>25.09</v>
      </c>
      <c r="ES87" s="2">
        <v>25.09</v>
      </c>
      <c r="ET87" s="2">
        <v>0</v>
      </c>
      <c r="EU87" s="2">
        <v>0</v>
      </c>
      <c r="EV87" s="2">
        <v>0</v>
      </c>
      <c r="EW87" s="2">
        <v>0</v>
      </c>
      <c r="EX87" s="2">
        <v>0</v>
      </c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>
        <v>0</v>
      </c>
      <c r="FR87" s="2">
        <f t="shared" si="85"/>
        <v>0</v>
      </c>
      <c r="FS87" s="2">
        <v>0</v>
      </c>
      <c r="FT87" s="2"/>
      <c r="FU87" s="2"/>
      <c r="FV87" s="2"/>
      <c r="FW87" s="2"/>
      <c r="FX87" s="2">
        <v>109</v>
      </c>
      <c r="FY87" s="2">
        <v>57</v>
      </c>
      <c r="FZ87" s="2"/>
      <c r="GA87" s="2" t="s">
        <v>3</v>
      </c>
      <c r="GB87" s="2"/>
      <c r="GC87" s="2"/>
      <c r="GD87" s="2">
        <v>1</v>
      </c>
      <c r="GE87" s="2"/>
      <c r="GF87" s="2">
        <v>1866959067</v>
      </c>
      <c r="GG87" s="2">
        <v>2</v>
      </c>
      <c r="GH87" s="2">
        <v>1</v>
      </c>
      <c r="GI87" s="2">
        <v>-2</v>
      </c>
      <c r="GJ87" s="2">
        <v>0</v>
      </c>
      <c r="GK87" s="2">
        <v>0</v>
      </c>
      <c r="GL87" s="2">
        <f t="shared" si="86"/>
        <v>0</v>
      </c>
      <c r="GM87" s="2">
        <f t="shared" si="87"/>
        <v>6693.01</v>
      </c>
      <c r="GN87" s="2">
        <f t="shared" si="88"/>
        <v>6693.01</v>
      </c>
      <c r="GO87" s="2">
        <f t="shared" si="89"/>
        <v>0</v>
      </c>
      <c r="GP87" s="2">
        <f t="shared" si="90"/>
        <v>0</v>
      </c>
      <c r="GQ87" s="2"/>
      <c r="GR87" s="2">
        <v>0</v>
      </c>
      <c r="GS87" s="2">
        <v>3</v>
      </c>
      <c r="GT87" s="2">
        <v>0</v>
      </c>
      <c r="GU87" s="2" t="s">
        <v>3</v>
      </c>
      <c r="GV87" s="2">
        <f t="shared" si="91"/>
        <v>0</v>
      </c>
      <c r="GW87" s="2">
        <v>1</v>
      </c>
      <c r="GX87" s="2">
        <f t="shared" si="92"/>
        <v>0</v>
      </c>
      <c r="GY87" s="2"/>
      <c r="GZ87" s="2"/>
      <c r="HA87" s="2">
        <v>0</v>
      </c>
      <c r="HB87" s="2">
        <v>0</v>
      </c>
      <c r="HC87" s="2">
        <f t="shared" si="93"/>
        <v>0</v>
      </c>
      <c r="HD87" s="2"/>
      <c r="HE87" s="2" t="s">
        <v>3</v>
      </c>
      <c r="HF87" s="2" t="s">
        <v>3</v>
      </c>
      <c r="HG87" s="2"/>
      <c r="HH87" s="2"/>
      <c r="HI87" s="2"/>
      <c r="HJ87" s="2"/>
      <c r="HK87" s="2"/>
      <c r="HL87" s="2"/>
      <c r="HM87" s="2" t="s">
        <v>3</v>
      </c>
      <c r="HN87" s="2" t="s">
        <v>124</v>
      </c>
      <c r="HO87" s="2" t="s">
        <v>125</v>
      </c>
      <c r="HP87" s="2" t="s">
        <v>121</v>
      </c>
      <c r="HQ87" s="2" t="s">
        <v>121</v>
      </c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>
        <v>0</v>
      </c>
      <c r="IL87" s="2"/>
      <c r="IM87" s="2"/>
      <c r="IN87" s="2"/>
      <c r="IO87" s="2"/>
      <c r="IP87" s="2"/>
      <c r="IQ87" s="2"/>
      <c r="IR87" s="2"/>
      <c r="IS87" s="2"/>
      <c r="IT87" s="2"/>
      <c r="IU87" s="2"/>
    </row>
    <row r="88" spans="1:245" ht="12.75">
      <c r="A88">
        <v>18</v>
      </c>
      <c r="B88">
        <v>1</v>
      </c>
      <c r="C88">
        <v>85</v>
      </c>
      <c r="E88" t="s">
        <v>156</v>
      </c>
      <c r="F88" t="s">
        <v>157</v>
      </c>
      <c r="G88" t="s">
        <v>158</v>
      </c>
      <c r="H88" t="s">
        <v>154</v>
      </c>
      <c r="I88">
        <f>I84*J88</f>
        <v>266.76</v>
      </c>
      <c r="J88">
        <v>114</v>
      </c>
      <c r="K88">
        <v>114</v>
      </c>
      <c r="O88">
        <f t="shared" si="61"/>
        <v>44977.02</v>
      </c>
      <c r="P88">
        <f t="shared" si="62"/>
        <v>44977.02</v>
      </c>
      <c r="Q88">
        <f t="shared" si="63"/>
        <v>0</v>
      </c>
      <c r="R88">
        <f t="shared" si="64"/>
        <v>0</v>
      </c>
      <c r="S88">
        <f t="shared" si="65"/>
        <v>0</v>
      </c>
      <c r="T88">
        <f t="shared" si="66"/>
        <v>0</v>
      </c>
      <c r="U88">
        <f t="shared" si="67"/>
        <v>0</v>
      </c>
      <c r="V88">
        <f t="shared" si="68"/>
        <v>0</v>
      </c>
      <c r="W88">
        <f t="shared" si="69"/>
        <v>0</v>
      </c>
      <c r="X88">
        <f t="shared" si="70"/>
        <v>0</v>
      </c>
      <c r="Y88">
        <f t="shared" si="71"/>
        <v>0</v>
      </c>
      <c r="AA88">
        <v>55655399</v>
      </c>
      <c r="AB88">
        <f t="shared" si="72"/>
        <v>25.09</v>
      </c>
      <c r="AC88">
        <f t="shared" si="94"/>
        <v>25.09</v>
      </c>
      <c r="AD88">
        <f>ROUND((((ET88)-(EU88))+AE88),2)</f>
        <v>0</v>
      </c>
      <c r="AE88">
        <f t="shared" si="101"/>
        <v>0</v>
      </c>
      <c r="AF88">
        <f t="shared" si="101"/>
        <v>0</v>
      </c>
      <c r="AG88">
        <f t="shared" si="73"/>
        <v>0</v>
      </c>
      <c r="AH88">
        <f t="shared" si="102"/>
        <v>0</v>
      </c>
      <c r="AI88">
        <f t="shared" si="102"/>
        <v>0</v>
      </c>
      <c r="AJ88">
        <f t="shared" si="74"/>
        <v>0</v>
      </c>
      <c r="AK88">
        <v>25.09</v>
      </c>
      <c r="AL88">
        <v>25.09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109</v>
      </c>
      <c r="AU88">
        <v>57</v>
      </c>
      <c r="AV88">
        <v>1</v>
      </c>
      <c r="AW88">
        <v>1</v>
      </c>
      <c r="AZ88">
        <v>1</v>
      </c>
      <c r="BA88">
        <v>1</v>
      </c>
      <c r="BB88">
        <v>1</v>
      </c>
      <c r="BC88">
        <v>6.72</v>
      </c>
      <c r="BH88">
        <v>3</v>
      </c>
      <c r="BI88">
        <v>1</v>
      </c>
      <c r="BJ88" t="s">
        <v>159</v>
      </c>
      <c r="BM88">
        <v>12001</v>
      </c>
      <c r="BN88">
        <v>0</v>
      </c>
      <c r="BO88" t="s">
        <v>34</v>
      </c>
      <c r="BP88">
        <v>1</v>
      </c>
      <c r="BQ88">
        <v>2</v>
      </c>
      <c r="BR88">
        <v>0</v>
      </c>
      <c r="BS88">
        <v>1</v>
      </c>
      <c r="BT88">
        <v>1</v>
      </c>
      <c r="BU88">
        <v>1</v>
      </c>
      <c r="BV88">
        <v>1</v>
      </c>
      <c r="BW88">
        <v>1</v>
      </c>
      <c r="BX88">
        <v>1</v>
      </c>
      <c r="BZ88">
        <v>109</v>
      </c>
      <c r="CA88">
        <v>57</v>
      </c>
      <c r="CE88">
        <v>0</v>
      </c>
      <c r="CF88">
        <v>0</v>
      </c>
      <c r="CG88">
        <v>0</v>
      </c>
      <c r="CM88">
        <v>0</v>
      </c>
      <c r="CO88">
        <v>0</v>
      </c>
      <c r="CP88">
        <f t="shared" si="75"/>
        <v>44977.02</v>
      </c>
      <c r="CQ88">
        <f t="shared" si="76"/>
        <v>168.60479999999998</v>
      </c>
      <c r="CR88">
        <f>(((ET88)*BB88-(EU88)*BS88)+AE88*BS88)</f>
        <v>0</v>
      </c>
      <c r="CS88">
        <f t="shared" si="77"/>
        <v>0</v>
      </c>
      <c r="CT88">
        <f t="shared" si="78"/>
        <v>0</v>
      </c>
      <c r="CU88">
        <f t="shared" si="79"/>
        <v>0</v>
      </c>
      <c r="CV88">
        <f t="shared" si="80"/>
        <v>0</v>
      </c>
      <c r="CW88">
        <f t="shared" si="81"/>
        <v>0</v>
      </c>
      <c r="CX88">
        <f t="shared" si="82"/>
        <v>0</v>
      </c>
      <c r="CY88">
        <f t="shared" si="83"/>
        <v>0</v>
      </c>
      <c r="CZ88">
        <f t="shared" si="84"/>
        <v>0</v>
      </c>
      <c r="DN88">
        <v>0</v>
      </c>
      <c r="DO88">
        <v>0</v>
      </c>
      <c r="DP88">
        <v>1</v>
      </c>
      <c r="DQ88">
        <v>1</v>
      </c>
      <c r="DU88">
        <v>1005</v>
      </c>
      <c r="DV88" t="s">
        <v>154</v>
      </c>
      <c r="DW88" t="s">
        <v>154</v>
      </c>
      <c r="DX88">
        <v>1</v>
      </c>
      <c r="EE88">
        <v>55471665</v>
      </c>
      <c r="EF88">
        <v>2</v>
      </c>
      <c r="EG88" t="s">
        <v>28</v>
      </c>
      <c r="EH88">
        <v>12</v>
      </c>
      <c r="EI88" t="s">
        <v>121</v>
      </c>
      <c r="EJ88">
        <v>1</v>
      </c>
      <c r="EK88">
        <v>12001</v>
      </c>
      <c r="EL88" t="s">
        <v>121</v>
      </c>
      <c r="EM88" t="s">
        <v>122</v>
      </c>
      <c r="EQ88">
        <v>0</v>
      </c>
      <c r="ER88">
        <v>25.09</v>
      </c>
      <c r="ES88">
        <v>25.09</v>
      </c>
      <c r="ET88">
        <v>0</v>
      </c>
      <c r="EU88">
        <v>0</v>
      </c>
      <c r="EV88">
        <v>0</v>
      </c>
      <c r="EW88">
        <v>0</v>
      </c>
      <c r="EX88">
        <v>0</v>
      </c>
      <c r="FQ88">
        <v>0</v>
      </c>
      <c r="FR88">
        <f t="shared" si="85"/>
        <v>0</v>
      </c>
      <c r="FS88">
        <v>0</v>
      </c>
      <c r="FX88">
        <v>109</v>
      </c>
      <c r="FY88">
        <v>57</v>
      </c>
      <c r="GD88">
        <v>1</v>
      </c>
      <c r="GF88">
        <v>1866959067</v>
      </c>
      <c r="GG88">
        <v>2</v>
      </c>
      <c r="GH88">
        <v>1</v>
      </c>
      <c r="GI88">
        <v>4</v>
      </c>
      <c r="GJ88">
        <v>0</v>
      </c>
      <c r="GK88">
        <v>0</v>
      </c>
      <c r="GL88">
        <f t="shared" si="86"/>
        <v>0</v>
      </c>
      <c r="GM88">
        <f t="shared" si="87"/>
        <v>44977.02</v>
      </c>
      <c r="GN88">
        <f t="shared" si="88"/>
        <v>44977.02</v>
      </c>
      <c r="GO88">
        <f t="shared" si="89"/>
        <v>0</v>
      </c>
      <c r="GP88">
        <f t="shared" si="90"/>
        <v>0</v>
      </c>
      <c r="GR88">
        <v>0</v>
      </c>
      <c r="GS88">
        <v>3</v>
      </c>
      <c r="GT88">
        <v>0</v>
      </c>
      <c r="GV88">
        <f t="shared" si="91"/>
        <v>0</v>
      </c>
      <c r="GW88">
        <v>1</v>
      </c>
      <c r="GX88">
        <f t="shared" si="92"/>
        <v>0</v>
      </c>
      <c r="HA88">
        <v>0</v>
      </c>
      <c r="HB88">
        <v>0</v>
      </c>
      <c r="HC88">
        <f t="shared" si="93"/>
        <v>0</v>
      </c>
      <c r="HN88" t="s">
        <v>124</v>
      </c>
      <c r="HO88" t="s">
        <v>125</v>
      </c>
      <c r="HP88" t="s">
        <v>121</v>
      </c>
      <c r="HQ88" t="s">
        <v>121</v>
      </c>
      <c r="IK88">
        <v>0</v>
      </c>
    </row>
    <row r="89" spans="1:255" ht="12.75">
      <c r="A89" s="2">
        <v>17</v>
      </c>
      <c r="B89" s="2">
        <v>1</v>
      </c>
      <c r="C89" s="2">
        <f>ROW(SmtRes!A95)</f>
        <v>95</v>
      </c>
      <c r="D89" s="2">
        <f>ROW(EtalonRes!A98)</f>
        <v>98</v>
      </c>
      <c r="E89" s="2" t="s">
        <v>160</v>
      </c>
      <c r="F89" s="2" t="s">
        <v>161</v>
      </c>
      <c r="G89" s="2" t="s">
        <v>162</v>
      </c>
      <c r="H89" s="2" t="s">
        <v>163</v>
      </c>
      <c r="I89" s="2">
        <f>ROUND(10.4/100,7)</f>
        <v>0.104</v>
      </c>
      <c r="J89" s="2">
        <v>0</v>
      </c>
      <c r="K89" s="2">
        <f>ROUND(10.4/100,7)</f>
        <v>0.104</v>
      </c>
      <c r="L89" s="2"/>
      <c r="M89" s="2"/>
      <c r="N89" s="2"/>
      <c r="O89" s="2">
        <f t="shared" si="61"/>
        <v>96.76</v>
      </c>
      <c r="P89" s="2">
        <f t="shared" si="62"/>
        <v>48.15</v>
      </c>
      <c r="Q89" s="2">
        <f t="shared" si="63"/>
        <v>9.63</v>
      </c>
      <c r="R89" s="2">
        <f t="shared" si="64"/>
        <v>1.47</v>
      </c>
      <c r="S89" s="2">
        <f t="shared" si="65"/>
        <v>38.98</v>
      </c>
      <c r="T89" s="2">
        <f t="shared" si="66"/>
        <v>0</v>
      </c>
      <c r="U89" s="2">
        <f t="shared" si="67"/>
        <v>4.245799999999999</v>
      </c>
      <c r="V89" s="2">
        <f t="shared" si="68"/>
        <v>0.1118</v>
      </c>
      <c r="W89" s="2">
        <f t="shared" si="69"/>
        <v>0</v>
      </c>
      <c r="X89" s="2">
        <f t="shared" si="70"/>
        <v>39.68</v>
      </c>
      <c r="Y89" s="2">
        <f t="shared" si="71"/>
        <v>19.6</v>
      </c>
      <c r="Z89" s="2"/>
      <c r="AA89" s="2">
        <v>55655398</v>
      </c>
      <c r="AB89" s="2">
        <f t="shared" si="72"/>
        <v>930.35</v>
      </c>
      <c r="AC89" s="2">
        <f t="shared" si="94"/>
        <v>462.96</v>
      </c>
      <c r="AD89" s="2">
        <f>ROUND(((((ET89*ROUND(1.25,7)))-((EU89*ROUND(1.25,7))))+AE89),2)</f>
        <v>92.62</v>
      </c>
      <c r="AE89" s="2">
        <f>ROUND(((EU89*ROUND(1.25,7))),2)</f>
        <v>14.16</v>
      </c>
      <c r="AF89" s="2">
        <f>ROUND(((EV89*ROUND(1.15,7))),2)</f>
        <v>374.77</v>
      </c>
      <c r="AG89" s="2">
        <f t="shared" si="73"/>
        <v>0</v>
      </c>
      <c r="AH89" s="2">
        <f>((EW89*ROUND(1.15,7)))</f>
        <v>40.824999999999996</v>
      </c>
      <c r="AI89" s="2">
        <f>((EX89*ROUND(1.25,7)))</f>
        <v>1.075</v>
      </c>
      <c r="AJ89" s="2">
        <f t="shared" si="74"/>
        <v>0</v>
      </c>
      <c r="AK89" s="2">
        <v>862.95</v>
      </c>
      <c r="AL89" s="2">
        <v>462.96</v>
      </c>
      <c r="AM89" s="2">
        <v>74.1</v>
      </c>
      <c r="AN89" s="2">
        <v>11.33</v>
      </c>
      <c r="AO89" s="2">
        <v>325.89</v>
      </c>
      <c r="AP89" s="2">
        <v>0</v>
      </c>
      <c r="AQ89" s="2">
        <v>35.5</v>
      </c>
      <c r="AR89" s="2">
        <v>0.86</v>
      </c>
      <c r="AS89" s="2">
        <v>0</v>
      </c>
      <c r="AT89" s="2">
        <v>98.1</v>
      </c>
      <c r="AU89" s="2">
        <v>48.45</v>
      </c>
      <c r="AV89" s="2">
        <v>1</v>
      </c>
      <c r="AW89" s="2">
        <v>1</v>
      </c>
      <c r="AX89" s="2"/>
      <c r="AY89" s="2"/>
      <c r="AZ89" s="2">
        <v>1</v>
      </c>
      <c r="BA89" s="2">
        <v>1</v>
      </c>
      <c r="BB89" s="2">
        <v>1</v>
      </c>
      <c r="BC89" s="2">
        <v>1</v>
      </c>
      <c r="BD89" s="2" t="s">
        <v>3</v>
      </c>
      <c r="BE89" s="2" t="s">
        <v>3</v>
      </c>
      <c r="BF89" s="2" t="s">
        <v>3</v>
      </c>
      <c r="BG89" s="2" t="s">
        <v>3</v>
      </c>
      <c r="BH89" s="2">
        <v>0</v>
      </c>
      <c r="BI89" s="2">
        <v>1</v>
      </c>
      <c r="BJ89" s="2" t="s">
        <v>164</v>
      </c>
      <c r="BK89" s="2"/>
      <c r="BL89" s="2"/>
      <c r="BM89" s="2">
        <v>12001</v>
      </c>
      <c r="BN89" s="2">
        <v>0</v>
      </c>
      <c r="BO89" s="2" t="s">
        <v>3</v>
      </c>
      <c r="BP89" s="2">
        <v>0</v>
      </c>
      <c r="BQ89" s="2">
        <v>2</v>
      </c>
      <c r="BR89" s="2">
        <v>0</v>
      </c>
      <c r="BS89" s="2">
        <v>1</v>
      </c>
      <c r="BT89" s="2">
        <v>1</v>
      </c>
      <c r="BU89" s="2">
        <v>1</v>
      </c>
      <c r="BV89" s="2">
        <v>1</v>
      </c>
      <c r="BW89" s="2">
        <v>1</v>
      </c>
      <c r="BX89" s="2">
        <v>1</v>
      </c>
      <c r="BY89" s="2" t="s">
        <v>3</v>
      </c>
      <c r="BZ89" s="2">
        <v>109</v>
      </c>
      <c r="CA89" s="2">
        <v>57</v>
      </c>
      <c r="CB89" s="2" t="s">
        <v>3</v>
      </c>
      <c r="CC89" s="2"/>
      <c r="CD89" s="2"/>
      <c r="CE89" s="2">
        <v>0</v>
      </c>
      <c r="CF89" s="2">
        <v>0</v>
      </c>
      <c r="CG89" s="2">
        <v>0</v>
      </c>
      <c r="CH89" s="2"/>
      <c r="CI89" s="2"/>
      <c r="CJ89" s="2"/>
      <c r="CK89" s="2"/>
      <c r="CL89" s="2"/>
      <c r="CM89" s="2">
        <v>0</v>
      </c>
      <c r="CN89" s="2" t="s">
        <v>350</v>
      </c>
      <c r="CO89" s="2">
        <v>0</v>
      </c>
      <c r="CP89" s="2">
        <f t="shared" si="75"/>
        <v>96.75999999999999</v>
      </c>
      <c r="CQ89" s="2">
        <f t="shared" si="76"/>
        <v>462.96</v>
      </c>
      <c r="CR89" s="2">
        <f>((((ET89*ROUND(1.25,7)))*BB89-((EU89*ROUND(1.25,7)))*BS89)+AE89*BS89)</f>
        <v>92.6225</v>
      </c>
      <c r="CS89" s="2">
        <f t="shared" si="77"/>
        <v>14.16</v>
      </c>
      <c r="CT89" s="2">
        <f t="shared" si="78"/>
        <v>374.77</v>
      </c>
      <c r="CU89" s="2">
        <f t="shared" si="79"/>
        <v>0</v>
      </c>
      <c r="CV89" s="2">
        <f t="shared" si="80"/>
        <v>40.824999999999996</v>
      </c>
      <c r="CW89" s="2">
        <f t="shared" si="81"/>
        <v>1.075</v>
      </c>
      <c r="CX89" s="2">
        <f t="shared" si="82"/>
        <v>0</v>
      </c>
      <c r="CY89" s="2">
        <f t="shared" si="83"/>
        <v>39.68145</v>
      </c>
      <c r="CZ89" s="2">
        <f t="shared" si="84"/>
        <v>19.598025</v>
      </c>
      <c r="DA89" s="2"/>
      <c r="DB89" s="2"/>
      <c r="DC89" s="2" t="s">
        <v>3</v>
      </c>
      <c r="DD89" s="2" t="s">
        <v>3</v>
      </c>
      <c r="DE89" s="2" t="s">
        <v>117</v>
      </c>
      <c r="DF89" s="2" t="s">
        <v>117</v>
      </c>
      <c r="DG89" s="2" t="s">
        <v>118</v>
      </c>
      <c r="DH89" s="2" t="s">
        <v>3</v>
      </c>
      <c r="DI89" s="2" t="s">
        <v>118</v>
      </c>
      <c r="DJ89" s="2" t="s">
        <v>117</v>
      </c>
      <c r="DK89" s="2" t="s">
        <v>3</v>
      </c>
      <c r="DL89" s="2" t="s">
        <v>119</v>
      </c>
      <c r="DM89" s="2" t="s">
        <v>120</v>
      </c>
      <c r="DN89" s="2">
        <v>0</v>
      </c>
      <c r="DO89" s="2">
        <v>0</v>
      </c>
      <c r="DP89" s="2">
        <v>1</v>
      </c>
      <c r="DQ89" s="2">
        <v>1</v>
      </c>
      <c r="DR89" s="2"/>
      <c r="DS89" s="2"/>
      <c r="DT89" s="2"/>
      <c r="DU89" s="2">
        <v>1003</v>
      </c>
      <c r="DV89" s="2" t="s">
        <v>163</v>
      </c>
      <c r="DW89" s="2" t="s">
        <v>163</v>
      </c>
      <c r="DX89" s="2">
        <v>100</v>
      </c>
      <c r="DY89" s="2"/>
      <c r="DZ89" s="2" t="s">
        <v>3</v>
      </c>
      <c r="EA89" s="2" t="s">
        <v>3</v>
      </c>
      <c r="EB89" s="2" t="s">
        <v>3</v>
      </c>
      <c r="EC89" s="2" t="s">
        <v>3</v>
      </c>
      <c r="ED89" s="2"/>
      <c r="EE89" s="2">
        <v>55471665</v>
      </c>
      <c r="EF89" s="2">
        <v>2</v>
      </c>
      <c r="EG89" s="2" t="s">
        <v>28</v>
      </c>
      <c r="EH89" s="2">
        <v>12</v>
      </c>
      <c r="EI89" s="2" t="s">
        <v>121</v>
      </c>
      <c r="EJ89" s="2">
        <v>1</v>
      </c>
      <c r="EK89" s="2">
        <v>12001</v>
      </c>
      <c r="EL89" s="2" t="s">
        <v>121</v>
      </c>
      <c r="EM89" s="2" t="s">
        <v>122</v>
      </c>
      <c r="EN89" s="2"/>
      <c r="EO89" s="2" t="s">
        <v>123</v>
      </c>
      <c r="EP89" s="2"/>
      <c r="EQ89" s="2">
        <v>0</v>
      </c>
      <c r="ER89" s="2">
        <v>862.95</v>
      </c>
      <c r="ES89" s="2">
        <v>462.96</v>
      </c>
      <c r="ET89" s="2">
        <v>74.1</v>
      </c>
      <c r="EU89" s="2">
        <v>11.33</v>
      </c>
      <c r="EV89" s="2">
        <v>325.89</v>
      </c>
      <c r="EW89" s="2">
        <v>35.5</v>
      </c>
      <c r="EX89" s="2">
        <v>0.86</v>
      </c>
      <c r="EY89" s="2">
        <v>0</v>
      </c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>
        <v>0</v>
      </c>
      <c r="FR89" s="2">
        <f t="shared" si="85"/>
        <v>0</v>
      </c>
      <c r="FS89" s="2">
        <v>0</v>
      </c>
      <c r="FT89" s="2"/>
      <c r="FU89" s="2"/>
      <c r="FV89" s="2"/>
      <c r="FW89" s="2"/>
      <c r="FX89" s="2">
        <v>98.1</v>
      </c>
      <c r="FY89" s="2">
        <v>48.45</v>
      </c>
      <c r="FZ89" s="2"/>
      <c r="GA89" s="2" t="s">
        <v>3</v>
      </c>
      <c r="GB89" s="2"/>
      <c r="GC89" s="2"/>
      <c r="GD89" s="2">
        <v>1</v>
      </c>
      <c r="GE89" s="2"/>
      <c r="GF89" s="2">
        <v>-1864786265</v>
      </c>
      <c r="GG89" s="2">
        <v>2</v>
      </c>
      <c r="GH89" s="2">
        <v>1</v>
      </c>
      <c r="GI89" s="2">
        <v>-2</v>
      </c>
      <c r="GJ89" s="2">
        <v>0</v>
      </c>
      <c r="GK89" s="2">
        <v>0</v>
      </c>
      <c r="GL89" s="2">
        <f t="shared" si="86"/>
        <v>0</v>
      </c>
      <c r="GM89" s="2">
        <f t="shared" si="87"/>
        <v>156.04</v>
      </c>
      <c r="GN89" s="2">
        <f t="shared" si="88"/>
        <v>156.04</v>
      </c>
      <c r="GO89" s="2">
        <f t="shared" si="89"/>
        <v>0</v>
      </c>
      <c r="GP89" s="2">
        <f t="shared" si="90"/>
        <v>0</v>
      </c>
      <c r="GQ89" s="2"/>
      <c r="GR89" s="2">
        <v>0</v>
      </c>
      <c r="GS89" s="2">
        <v>3</v>
      </c>
      <c r="GT89" s="2">
        <v>0</v>
      </c>
      <c r="GU89" s="2" t="s">
        <v>3</v>
      </c>
      <c r="GV89" s="2">
        <f t="shared" si="91"/>
        <v>0</v>
      </c>
      <c r="GW89" s="2">
        <v>1</v>
      </c>
      <c r="GX89" s="2">
        <f t="shared" si="92"/>
        <v>0</v>
      </c>
      <c r="GY89" s="2"/>
      <c r="GZ89" s="2"/>
      <c r="HA89" s="2">
        <v>0</v>
      </c>
      <c r="HB89" s="2">
        <v>0</v>
      </c>
      <c r="HC89" s="2">
        <f t="shared" si="93"/>
        <v>0</v>
      </c>
      <c r="HD89" s="2"/>
      <c r="HE89" s="2" t="s">
        <v>3</v>
      </c>
      <c r="HF89" s="2" t="s">
        <v>3</v>
      </c>
      <c r="HG89" s="2"/>
      <c r="HH89" s="2"/>
      <c r="HI89" s="2"/>
      <c r="HJ89" s="2"/>
      <c r="HK89" s="2"/>
      <c r="HL89" s="2"/>
      <c r="HM89" s="2" t="s">
        <v>3</v>
      </c>
      <c r="HN89" s="2" t="s">
        <v>124</v>
      </c>
      <c r="HO89" s="2" t="s">
        <v>125</v>
      </c>
      <c r="HP89" s="2" t="s">
        <v>121</v>
      </c>
      <c r="HQ89" s="2" t="s">
        <v>121</v>
      </c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>
        <v>0</v>
      </c>
      <c r="IL89" s="2"/>
      <c r="IM89" s="2"/>
      <c r="IN89" s="2"/>
      <c r="IO89" s="2"/>
      <c r="IP89" s="2"/>
      <c r="IQ89" s="2"/>
      <c r="IR89" s="2"/>
      <c r="IS89" s="2"/>
      <c r="IT89" s="2"/>
      <c r="IU89" s="2"/>
    </row>
    <row r="90" spans="1:245" ht="12.75">
      <c r="A90">
        <v>17</v>
      </c>
      <c r="B90">
        <v>1</v>
      </c>
      <c r="C90">
        <f>ROW(SmtRes!A104)</f>
        <v>104</v>
      </c>
      <c r="D90">
        <f>ROW(EtalonRes!A106)</f>
        <v>106</v>
      </c>
      <c r="E90" t="s">
        <v>160</v>
      </c>
      <c r="F90" t="s">
        <v>161</v>
      </c>
      <c r="G90" t="s">
        <v>162</v>
      </c>
      <c r="H90" t="s">
        <v>163</v>
      </c>
      <c r="I90">
        <f>ROUND(10.4/100,7)</f>
        <v>0.104</v>
      </c>
      <c r="J90">
        <v>0</v>
      </c>
      <c r="K90">
        <f>ROUND(10.4/100,7)</f>
        <v>0.104</v>
      </c>
      <c r="O90">
        <f t="shared" si="61"/>
        <v>1906.45</v>
      </c>
      <c r="P90">
        <f t="shared" si="62"/>
        <v>323.55</v>
      </c>
      <c r="Q90">
        <f t="shared" si="63"/>
        <v>127.53</v>
      </c>
      <c r="R90">
        <f t="shared" si="64"/>
        <v>54.99</v>
      </c>
      <c r="S90">
        <f t="shared" si="65"/>
        <v>1455.37</v>
      </c>
      <c r="T90">
        <f t="shared" si="66"/>
        <v>0</v>
      </c>
      <c r="U90">
        <f t="shared" si="67"/>
        <v>4.245799999999999</v>
      </c>
      <c r="V90">
        <f t="shared" si="68"/>
        <v>0.1118</v>
      </c>
      <c r="W90">
        <f t="shared" si="69"/>
        <v>0</v>
      </c>
      <c r="X90">
        <f t="shared" si="70"/>
        <v>1481.66</v>
      </c>
      <c r="Y90">
        <f t="shared" si="71"/>
        <v>731.77</v>
      </c>
      <c r="AA90">
        <v>55655399</v>
      </c>
      <c r="AB90">
        <f t="shared" si="72"/>
        <v>930.35</v>
      </c>
      <c r="AC90">
        <f t="shared" si="94"/>
        <v>462.96</v>
      </c>
      <c r="AD90">
        <f>ROUND(((((ET90*ROUND(1.25,7)))-((EU90*ROUND(1.25,7))))+AE90),2)</f>
        <v>92.62</v>
      </c>
      <c r="AE90">
        <f>ROUND(((EU90*ROUND(1.25,7))),2)</f>
        <v>14.16</v>
      </c>
      <c r="AF90">
        <f>ROUND(((EV90*ROUND(1.15,7))),2)</f>
        <v>374.77</v>
      </c>
      <c r="AG90">
        <f t="shared" si="73"/>
        <v>0</v>
      </c>
      <c r="AH90">
        <f>((EW90*ROUND(1.15,7)))</f>
        <v>40.824999999999996</v>
      </c>
      <c r="AI90">
        <f>((EX90*ROUND(1.25,7)))</f>
        <v>1.075</v>
      </c>
      <c r="AJ90">
        <f t="shared" si="74"/>
        <v>0</v>
      </c>
      <c r="AK90">
        <v>862.95</v>
      </c>
      <c r="AL90">
        <v>462.96</v>
      </c>
      <c r="AM90">
        <v>74.1</v>
      </c>
      <c r="AN90">
        <v>11.33</v>
      </c>
      <c r="AO90">
        <v>325.89</v>
      </c>
      <c r="AP90">
        <v>0</v>
      </c>
      <c r="AQ90">
        <v>35.5</v>
      </c>
      <c r="AR90">
        <v>0.86</v>
      </c>
      <c r="AS90">
        <v>0</v>
      </c>
      <c r="AT90">
        <v>98.1</v>
      </c>
      <c r="AU90">
        <v>48.45</v>
      </c>
      <c r="AV90">
        <v>1</v>
      </c>
      <c r="AW90">
        <v>1</v>
      </c>
      <c r="AZ90">
        <v>1</v>
      </c>
      <c r="BA90">
        <v>37.34</v>
      </c>
      <c r="BB90">
        <v>13.24</v>
      </c>
      <c r="BC90">
        <v>6.72</v>
      </c>
      <c r="BH90">
        <v>0</v>
      </c>
      <c r="BI90">
        <v>1</v>
      </c>
      <c r="BJ90" t="s">
        <v>164</v>
      </c>
      <c r="BM90">
        <v>12001</v>
      </c>
      <c r="BN90">
        <v>0</v>
      </c>
      <c r="BO90" t="s">
        <v>34</v>
      </c>
      <c r="BP90">
        <v>1</v>
      </c>
      <c r="BQ90">
        <v>2</v>
      </c>
      <c r="BR90">
        <v>0</v>
      </c>
      <c r="BS90">
        <v>37.34</v>
      </c>
      <c r="BT90">
        <v>1</v>
      </c>
      <c r="BU90">
        <v>1</v>
      </c>
      <c r="BV90">
        <v>1</v>
      </c>
      <c r="BW90">
        <v>1</v>
      </c>
      <c r="BX90">
        <v>1</v>
      </c>
      <c r="BZ90">
        <v>109</v>
      </c>
      <c r="CA90">
        <v>57</v>
      </c>
      <c r="CE90">
        <v>0</v>
      </c>
      <c r="CF90">
        <v>0</v>
      </c>
      <c r="CG90">
        <v>0</v>
      </c>
      <c r="CM90">
        <v>0</v>
      </c>
      <c r="CN90" t="s">
        <v>350</v>
      </c>
      <c r="CO90">
        <v>0</v>
      </c>
      <c r="CP90">
        <f t="shared" si="75"/>
        <v>1906.4499999999998</v>
      </c>
      <c r="CQ90">
        <f t="shared" si="76"/>
        <v>3111.0912</v>
      </c>
      <c r="CR90">
        <f>((((ET90*ROUND(1.25,7)))*BB90-((EU90*ROUND(1.25,7)))*BS90)+AE90*BS90)</f>
        <v>1226.26165</v>
      </c>
      <c r="CS90">
        <f t="shared" si="77"/>
        <v>528.7344</v>
      </c>
      <c r="CT90">
        <f t="shared" si="78"/>
        <v>13993.9118</v>
      </c>
      <c r="CU90">
        <f t="shared" si="79"/>
        <v>0</v>
      </c>
      <c r="CV90">
        <f t="shared" si="80"/>
        <v>40.824999999999996</v>
      </c>
      <c r="CW90">
        <f t="shared" si="81"/>
        <v>1.075</v>
      </c>
      <c r="CX90">
        <f t="shared" si="82"/>
        <v>0</v>
      </c>
      <c r="CY90">
        <f t="shared" si="83"/>
        <v>1481.6631599999998</v>
      </c>
      <c r="CZ90">
        <f t="shared" si="84"/>
        <v>731.76942</v>
      </c>
      <c r="DE90" t="s">
        <v>117</v>
      </c>
      <c r="DF90" t="s">
        <v>117</v>
      </c>
      <c r="DG90" t="s">
        <v>118</v>
      </c>
      <c r="DI90" t="s">
        <v>118</v>
      </c>
      <c r="DJ90" t="s">
        <v>117</v>
      </c>
      <c r="DL90" t="s">
        <v>119</v>
      </c>
      <c r="DM90" t="s">
        <v>120</v>
      </c>
      <c r="DN90">
        <v>0</v>
      </c>
      <c r="DO90">
        <v>0</v>
      </c>
      <c r="DP90">
        <v>1</v>
      </c>
      <c r="DQ90">
        <v>1</v>
      </c>
      <c r="DU90">
        <v>1003</v>
      </c>
      <c r="DV90" t="s">
        <v>163</v>
      </c>
      <c r="DW90" t="s">
        <v>163</v>
      </c>
      <c r="DX90">
        <v>100</v>
      </c>
      <c r="EE90">
        <v>55471665</v>
      </c>
      <c r="EF90">
        <v>2</v>
      </c>
      <c r="EG90" t="s">
        <v>28</v>
      </c>
      <c r="EH90">
        <v>12</v>
      </c>
      <c r="EI90" t="s">
        <v>121</v>
      </c>
      <c r="EJ90">
        <v>1</v>
      </c>
      <c r="EK90">
        <v>12001</v>
      </c>
      <c r="EL90" t="s">
        <v>121</v>
      </c>
      <c r="EM90" t="s">
        <v>122</v>
      </c>
      <c r="EO90" t="s">
        <v>123</v>
      </c>
      <c r="EQ90">
        <v>0</v>
      </c>
      <c r="ER90">
        <v>862.95</v>
      </c>
      <c r="ES90">
        <v>462.96</v>
      </c>
      <c r="ET90">
        <v>74.1</v>
      </c>
      <c r="EU90">
        <v>11.33</v>
      </c>
      <c r="EV90">
        <v>325.89</v>
      </c>
      <c r="EW90">
        <v>35.5</v>
      </c>
      <c r="EX90">
        <v>0.86</v>
      </c>
      <c r="EY90">
        <v>0</v>
      </c>
      <c r="FQ90">
        <v>0</v>
      </c>
      <c r="FR90">
        <f t="shared" si="85"/>
        <v>0</v>
      </c>
      <c r="FS90">
        <v>0</v>
      </c>
      <c r="FX90">
        <v>98.1</v>
      </c>
      <c r="FY90">
        <v>48.45</v>
      </c>
      <c r="GD90">
        <v>1</v>
      </c>
      <c r="GF90">
        <v>-1864786265</v>
      </c>
      <c r="GG90">
        <v>2</v>
      </c>
      <c r="GH90">
        <v>1</v>
      </c>
      <c r="GI90">
        <v>4</v>
      </c>
      <c r="GJ90">
        <v>0</v>
      </c>
      <c r="GK90">
        <v>0</v>
      </c>
      <c r="GL90">
        <f t="shared" si="86"/>
        <v>0</v>
      </c>
      <c r="GM90">
        <f t="shared" si="87"/>
        <v>4119.88</v>
      </c>
      <c r="GN90">
        <f t="shared" si="88"/>
        <v>4119.88</v>
      </c>
      <c r="GO90">
        <f t="shared" si="89"/>
        <v>0</v>
      </c>
      <c r="GP90">
        <f t="shared" si="90"/>
        <v>0</v>
      </c>
      <c r="GR90">
        <v>0</v>
      </c>
      <c r="GS90">
        <v>3</v>
      </c>
      <c r="GT90">
        <v>0</v>
      </c>
      <c r="GV90">
        <f t="shared" si="91"/>
        <v>0</v>
      </c>
      <c r="GW90">
        <v>1</v>
      </c>
      <c r="GX90">
        <f t="shared" si="92"/>
        <v>0</v>
      </c>
      <c r="HA90">
        <v>0</v>
      </c>
      <c r="HB90">
        <v>0</v>
      </c>
      <c r="HC90">
        <f t="shared" si="93"/>
        <v>0</v>
      </c>
      <c r="HN90" t="s">
        <v>124</v>
      </c>
      <c r="HO90" t="s">
        <v>125</v>
      </c>
      <c r="HP90" t="s">
        <v>121</v>
      </c>
      <c r="HQ90" t="s">
        <v>121</v>
      </c>
      <c r="IK90">
        <v>0</v>
      </c>
    </row>
    <row r="91" spans="1:255" ht="12.75">
      <c r="A91" s="2">
        <v>18</v>
      </c>
      <c r="B91" s="2">
        <v>1</v>
      </c>
      <c r="C91" s="2">
        <v>95</v>
      </c>
      <c r="D91" s="2"/>
      <c r="E91" s="2" t="s">
        <v>165</v>
      </c>
      <c r="F91" s="2" t="s">
        <v>152</v>
      </c>
      <c r="G91" s="2" t="s">
        <v>153</v>
      </c>
      <c r="H91" s="2" t="s">
        <v>154</v>
      </c>
      <c r="I91" s="2">
        <f>I89*J91</f>
        <v>12.064</v>
      </c>
      <c r="J91" s="2">
        <v>116</v>
      </c>
      <c r="K91" s="2">
        <v>116</v>
      </c>
      <c r="L91" s="2"/>
      <c r="M91" s="2"/>
      <c r="N91" s="2"/>
      <c r="O91" s="2">
        <f t="shared" si="61"/>
        <v>278.2</v>
      </c>
      <c r="P91" s="2">
        <f t="shared" si="62"/>
        <v>278.2</v>
      </c>
      <c r="Q91" s="2">
        <f t="shared" si="63"/>
        <v>0</v>
      </c>
      <c r="R91" s="2">
        <f t="shared" si="64"/>
        <v>0</v>
      </c>
      <c r="S91" s="2">
        <f t="shared" si="65"/>
        <v>0</v>
      </c>
      <c r="T91" s="2">
        <f t="shared" si="66"/>
        <v>0</v>
      </c>
      <c r="U91" s="2">
        <f t="shared" si="67"/>
        <v>0</v>
      </c>
      <c r="V91" s="2">
        <f t="shared" si="68"/>
        <v>0</v>
      </c>
      <c r="W91" s="2">
        <f t="shared" si="69"/>
        <v>0</v>
      </c>
      <c r="X91" s="2">
        <f t="shared" si="70"/>
        <v>0</v>
      </c>
      <c r="Y91" s="2">
        <f t="shared" si="71"/>
        <v>0</v>
      </c>
      <c r="Z91" s="2"/>
      <c r="AA91" s="2">
        <v>55655398</v>
      </c>
      <c r="AB91" s="2">
        <f t="shared" si="72"/>
        <v>23.06</v>
      </c>
      <c r="AC91" s="2">
        <f t="shared" si="94"/>
        <v>23.06</v>
      </c>
      <c r="AD91" s="2">
        <f>ROUND((((ET91)-(EU91))+AE91),2)</f>
        <v>0</v>
      </c>
      <c r="AE91" s="2">
        <f aca="true" t="shared" si="103" ref="AE91:AF94">ROUND((EU91),2)</f>
        <v>0</v>
      </c>
      <c r="AF91" s="2">
        <f t="shared" si="103"/>
        <v>0</v>
      </c>
      <c r="AG91" s="2">
        <f t="shared" si="73"/>
        <v>0</v>
      </c>
      <c r="AH91" s="2">
        <f aca="true" t="shared" si="104" ref="AH91:AI94">(EW91)</f>
        <v>0</v>
      </c>
      <c r="AI91" s="2">
        <f t="shared" si="104"/>
        <v>0</v>
      </c>
      <c r="AJ91" s="2">
        <f t="shared" si="74"/>
        <v>0</v>
      </c>
      <c r="AK91" s="2">
        <v>23.06</v>
      </c>
      <c r="AL91" s="2">
        <v>23.06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109</v>
      </c>
      <c r="AU91" s="2">
        <v>57</v>
      </c>
      <c r="AV91" s="2">
        <v>1</v>
      </c>
      <c r="AW91" s="2">
        <v>1</v>
      </c>
      <c r="AX91" s="2"/>
      <c r="AY91" s="2"/>
      <c r="AZ91" s="2">
        <v>1</v>
      </c>
      <c r="BA91" s="2">
        <v>1</v>
      </c>
      <c r="BB91" s="2">
        <v>1</v>
      </c>
      <c r="BC91" s="2">
        <v>1</v>
      </c>
      <c r="BD91" s="2" t="s">
        <v>3</v>
      </c>
      <c r="BE91" s="2" t="s">
        <v>3</v>
      </c>
      <c r="BF91" s="2" t="s">
        <v>3</v>
      </c>
      <c r="BG91" s="2" t="s">
        <v>3</v>
      </c>
      <c r="BH91" s="2">
        <v>3</v>
      </c>
      <c r="BI91" s="2">
        <v>1</v>
      </c>
      <c r="BJ91" s="2" t="s">
        <v>155</v>
      </c>
      <c r="BK91" s="2"/>
      <c r="BL91" s="2"/>
      <c r="BM91" s="2">
        <v>12001</v>
      </c>
      <c r="BN91" s="2">
        <v>0</v>
      </c>
      <c r="BO91" s="2" t="s">
        <v>3</v>
      </c>
      <c r="BP91" s="2">
        <v>0</v>
      </c>
      <c r="BQ91" s="2">
        <v>2</v>
      </c>
      <c r="BR91" s="2">
        <v>0</v>
      </c>
      <c r="BS91" s="2">
        <v>1</v>
      </c>
      <c r="BT91" s="2">
        <v>1</v>
      </c>
      <c r="BU91" s="2">
        <v>1</v>
      </c>
      <c r="BV91" s="2">
        <v>1</v>
      </c>
      <c r="BW91" s="2">
        <v>1</v>
      </c>
      <c r="BX91" s="2">
        <v>1</v>
      </c>
      <c r="BY91" s="2" t="s">
        <v>3</v>
      </c>
      <c r="BZ91" s="2">
        <v>109</v>
      </c>
      <c r="CA91" s="2">
        <v>57</v>
      </c>
      <c r="CB91" s="2" t="s">
        <v>3</v>
      </c>
      <c r="CC91" s="2"/>
      <c r="CD91" s="2"/>
      <c r="CE91" s="2">
        <v>0</v>
      </c>
      <c r="CF91" s="2">
        <v>0</v>
      </c>
      <c r="CG91" s="2">
        <v>0</v>
      </c>
      <c r="CH91" s="2"/>
      <c r="CI91" s="2"/>
      <c r="CJ91" s="2"/>
      <c r="CK91" s="2"/>
      <c r="CL91" s="2"/>
      <c r="CM91" s="2">
        <v>0</v>
      </c>
      <c r="CN91" s="2" t="s">
        <v>3</v>
      </c>
      <c r="CO91" s="2">
        <v>0</v>
      </c>
      <c r="CP91" s="2">
        <f t="shared" si="75"/>
        <v>278.2</v>
      </c>
      <c r="CQ91" s="2">
        <f t="shared" si="76"/>
        <v>23.06</v>
      </c>
      <c r="CR91" s="2">
        <f>(((ET91)*BB91-(EU91)*BS91)+AE91*BS91)</f>
        <v>0</v>
      </c>
      <c r="CS91" s="2">
        <f t="shared" si="77"/>
        <v>0</v>
      </c>
      <c r="CT91" s="2">
        <f t="shared" si="78"/>
        <v>0</v>
      </c>
      <c r="CU91" s="2">
        <f t="shared" si="79"/>
        <v>0</v>
      </c>
      <c r="CV91" s="2">
        <f t="shared" si="80"/>
        <v>0</v>
      </c>
      <c r="CW91" s="2">
        <f t="shared" si="81"/>
        <v>0</v>
      </c>
      <c r="CX91" s="2">
        <f t="shared" si="82"/>
        <v>0</v>
      </c>
      <c r="CY91" s="2">
        <f t="shared" si="83"/>
        <v>0</v>
      </c>
      <c r="CZ91" s="2">
        <f t="shared" si="84"/>
        <v>0</v>
      </c>
      <c r="DA91" s="2"/>
      <c r="DB91" s="2"/>
      <c r="DC91" s="2" t="s">
        <v>3</v>
      </c>
      <c r="DD91" s="2" t="s">
        <v>3</v>
      </c>
      <c r="DE91" s="2" t="s">
        <v>3</v>
      </c>
      <c r="DF91" s="2" t="s">
        <v>3</v>
      </c>
      <c r="DG91" s="2" t="s">
        <v>3</v>
      </c>
      <c r="DH91" s="2" t="s">
        <v>3</v>
      </c>
      <c r="DI91" s="2" t="s">
        <v>3</v>
      </c>
      <c r="DJ91" s="2" t="s">
        <v>3</v>
      </c>
      <c r="DK91" s="2" t="s">
        <v>3</v>
      </c>
      <c r="DL91" s="2" t="s">
        <v>3</v>
      </c>
      <c r="DM91" s="2" t="s">
        <v>3</v>
      </c>
      <c r="DN91" s="2">
        <v>0</v>
      </c>
      <c r="DO91" s="2">
        <v>0</v>
      </c>
      <c r="DP91" s="2">
        <v>1</v>
      </c>
      <c r="DQ91" s="2">
        <v>1</v>
      </c>
      <c r="DR91" s="2"/>
      <c r="DS91" s="2"/>
      <c r="DT91" s="2"/>
      <c r="DU91" s="2">
        <v>1005</v>
      </c>
      <c r="DV91" s="2" t="s">
        <v>154</v>
      </c>
      <c r="DW91" s="2" t="s">
        <v>154</v>
      </c>
      <c r="DX91" s="2">
        <v>1</v>
      </c>
      <c r="DY91" s="2"/>
      <c r="DZ91" s="2" t="s">
        <v>3</v>
      </c>
      <c r="EA91" s="2" t="s">
        <v>3</v>
      </c>
      <c r="EB91" s="2" t="s">
        <v>3</v>
      </c>
      <c r="EC91" s="2" t="s">
        <v>3</v>
      </c>
      <c r="ED91" s="2"/>
      <c r="EE91" s="2">
        <v>55471665</v>
      </c>
      <c r="EF91" s="2">
        <v>2</v>
      </c>
      <c r="EG91" s="2" t="s">
        <v>28</v>
      </c>
      <c r="EH91" s="2">
        <v>12</v>
      </c>
      <c r="EI91" s="2" t="s">
        <v>121</v>
      </c>
      <c r="EJ91" s="2">
        <v>1</v>
      </c>
      <c r="EK91" s="2">
        <v>12001</v>
      </c>
      <c r="EL91" s="2" t="s">
        <v>121</v>
      </c>
      <c r="EM91" s="2" t="s">
        <v>122</v>
      </c>
      <c r="EN91" s="2"/>
      <c r="EO91" s="2" t="s">
        <v>3</v>
      </c>
      <c r="EP91" s="2"/>
      <c r="EQ91" s="2">
        <v>0</v>
      </c>
      <c r="ER91" s="2">
        <v>23.06</v>
      </c>
      <c r="ES91" s="2">
        <v>23.06</v>
      </c>
      <c r="ET91" s="2">
        <v>0</v>
      </c>
      <c r="EU91" s="2">
        <v>0</v>
      </c>
      <c r="EV91" s="2">
        <v>0</v>
      </c>
      <c r="EW91" s="2">
        <v>0</v>
      </c>
      <c r="EX91" s="2">
        <v>0</v>
      </c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>
        <v>0</v>
      </c>
      <c r="FR91" s="2">
        <f t="shared" si="85"/>
        <v>0</v>
      </c>
      <c r="FS91" s="2">
        <v>0</v>
      </c>
      <c r="FT91" s="2"/>
      <c r="FU91" s="2"/>
      <c r="FV91" s="2"/>
      <c r="FW91" s="2"/>
      <c r="FX91" s="2">
        <v>109</v>
      </c>
      <c r="FY91" s="2">
        <v>57</v>
      </c>
      <c r="FZ91" s="2"/>
      <c r="GA91" s="2" t="s">
        <v>3</v>
      </c>
      <c r="GB91" s="2"/>
      <c r="GC91" s="2"/>
      <c r="GD91" s="2">
        <v>1</v>
      </c>
      <c r="GE91" s="2"/>
      <c r="GF91" s="2">
        <v>-211967687</v>
      </c>
      <c r="GG91" s="2">
        <v>2</v>
      </c>
      <c r="GH91" s="2">
        <v>1</v>
      </c>
      <c r="GI91" s="2">
        <v>-2</v>
      </c>
      <c r="GJ91" s="2">
        <v>0</v>
      </c>
      <c r="GK91" s="2">
        <v>0</v>
      </c>
      <c r="GL91" s="2">
        <f t="shared" si="86"/>
        <v>0</v>
      </c>
      <c r="GM91" s="2">
        <f t="shared" si="87"/>
        <v>278.2</v>
      </c>
      <c r="GN91" s="2">
        <f t="shared" si="88"/>
        <v>278.2</v>
      </c>
      <c r="GO91" s="2">
        <f t="shared" si="89"/>
        <v>0</v>
      </c>
      <c r="GP91" s="2">
        <f t="shared" si="90"/>
        <v>0</v>
      </c>
      <c r="GQ91" s="2"/>
      <c r="GR91" s="2">
        <v>0</v>
      </c>
      <c r="GS91" s="2">
        <v>3</v>
      </c>
      <c r="GT91" s="2">
        <v>0</v>
      </c>
      <c r="GU91" s="2" t="s">
        <v>3</v>
      </c>
      <c r="GV91" s="2">
        <f t="shared" si="91"/>
        <v>0</v>
      </c>
      <c r="GW91" s="2">
        <v>1</v>
      </c>
      <c r="GX91" s="2">
        <f t="shared" si="92"/>
        <v>0</v>
      </c>
      <c r="GY91" s="2"/>
      <c r="GZ91" s="2"/>
      <c r="HA91" s="2">
        <v>0</v>
      </c>
      <c r="HB91" s="2">
        <v>0</v>
      </c>
      <c r="HC91" s="2">
        <f t="shared" si="93"/>
        <v>0</v>
      </c>
      <c r="HD91" s="2"/>
      <c r="HE91" s="2" t="s">
        <v>3</v>
      </c>
      <c r="HF91" s="2" t="s">
        <v>3</v>
      </c>
      <c r="HG91" s="2"/>
      <c r="HH91" s="2"/>
      <c r="HI91" s="2"/>
      <c r="HJ91" s="2"/>
      <c r="HK91" s="2"/>
      <c r="HL91" s="2"/>
      <c r="HM91" s="2" t="s">
        <v>3</v>
      </c>
      <c r="HN91" s="2" t="s">
        <v>124</v>
      </c>
      <c r="HO91" s="2" t="s">
        <v>125</v>
      </c>
      <c r="HP91" s="2" t="s">
        <v>121</v>
      </c>
      <c r="HQ91" s="2" t="s">
        <v>121</v>
      </c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>
        <v>0</v>
      </c>
      <c r="IL91" s="2"/>
      <c r="IM91" s="2"/>
      <c r="IN91" s="2"/>
      <c r="IO91" s="2"/>
      <c r="IP91" s="2"/>
      <c r="IQ91" s="2"/>
      <c r="IR91" s="2"/>
      <c r="IS91" s="2"/>
      <c r="IT91" s="2"/>
      <c r="IU91" s="2"/>
    </row>
    <row r="92" spans="1:245" ht="12.75">
      <c r="A92">
        <v>18</v>
      </c>
      <c r="B92">
        <v>1</v>
      </c>
      <c r="C92">
        <v>104</v>
      </c>
      <c r="E92" t="s">
        <v>165</v>
      </c>
      <c r="F92" t="s">
        <v>152</v>
      </c>
      <c r="G92" t="s">
        <v>153</v>
      </c>
      <c r="H92" t="s">
        <v>154</v>
      </c>
      <c r="I92">
        <f>I90*J92</f>
        <v>12.064</v>
      </c>
      <c r="J92">
        <v>116</v>
      </c>
      <c r="K92">
        <v>116</v>
      </c>
      <c r="O92">
        <f t="shared" si="61"/>
        <v>1869.48</v>
      </c>
      <c r="P92">
        <f t="shared" si="62"/>
        <v>1869.48</v>
      </c>
      <c r="Q92">
        <f t="shared" si="63"/>
        <v>0</v>
      </c>
      <c r="R92">
        <f t="shared" si="64"/>
        <v>0</v>
      </c>
      <c r="S92">
        <f t="shared" si="65"/>
        <v>0</v>
      </c>
      <c r="T92">
        <f t="shared" si="66"/>
        <v>0</v>
      </c>
      <c r="U92">
        <f t="shared" si="67"/>
        <v>0</v>
      </c>
      <c r="V92">
        <f t="shared" si="68"/>
        <v>0</v>
      </c>
      <c r="W92">
        <f t="shared" si="69"/>
        <v>0</v>
      </c>
      <c r="X92">
        <f t="shared" si="70"/>
        <v>0</v>
      </c>
      <c r="Y92">
        <f t="shared" si="71"/>
        <v>0</v>
      </c>
      <c r="AA92">
        <v>55655399</v>
      </c>
      <c r="AB92">
        <f t="shared" si="72"/>
        <v>23.06</v>
      </c>
      <c r="AC92">
        <f t="shared" si="94"/>
        <v>23.06</v>
      </c>
      <c r="AD92">
        <f>ROUND((((ET92)-(EU92))+AE92),2)</f>
        <v>0</v>
      </c>
      <c r="AE92">
        <f t="shared" si="103"/>
        <v>0</v>
      </c>
      <c r="AF92">
        <f t="shared" si="103"/>
        <v>0</v>
      </c>
      <c r="AG92">
        <f t="shared" si="73"/>
        <v>0</v>
      </c>
      <c r="AH92">
        <f t="shared" si="104"/>
        <v>0</v>
      </c>
      <c r="AI92">
        <f t="shared" si="104"/>
        <v>0</v>
      </c>
      <c r="AJ92">
        <f t="shared" si="74"/>
        <v>0</v>
      </c>
      <c r="AK92">
        <v>23.06</v>
      </c>
      <c r="AL92">
        <v>23.06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109</v>
      </c>
      <c r="AU92">
        <v>57</v>
      </c>
      <c r="AV92">
        <v>1</v>
      </c>
      <c r="AW92">
        <v>1</v>
      </c>
      <c r="AZ92">
        <v>1</v>
      </c>
      <c r="BA92">
        <v>1</v>
      </c>
      <c r="BB92">
        <v>1</v>
      </c>
      <c r="BC92">
        <v>6.72</v>
      </c>
      <c r="BH92">
        <v>3</v>
      </c>
      <c r="BI92">
        <v>1</v>
      </c>
      <c r="BJ92" t="s">
        <v>155</v>
      </c>
      <c r="BM92">
        <v>12001</v>
      </c>
      <c r="BN92">
        <v>0</v>
      </c>
      <c r="BO92" t="s">
        <v>34</v>
      </c>
      <c r="BP92">
        <v>1</v>
      </c>
      <c r="BQ92">
        <v>2</v>
      </c>
      <c r="BR92">
        <v>0</v>
      </c>
      <c r="BS92">
        <v>1</v>
      </c>
      <c r="BT92">
        <v>1</v>
      </c>
      <c r="BU92">
        <v>1</v>
      </c>
      <c r="BV92">
        <v>1</v>
      </c>
      <c r="BW92">
        <v>1</v>
      </c>
      <c r="BX92">
        <v>1</v>
      </c>
      <c r="BZ92">
        <v>109</v>
      </c>
      <c r="CA92">
        <v>57</v>
      </c>
      <c r="CE92">
        <v>0</v>
      </c>
      <c r="CF92">
        <v>0</v>
      </c>
      <c r="CG92">
        <v>0</v>
      </c>
      <c r="CM92">
        <v>0</v>
      </c>
      <c r="CO92">
        <v>0</v>
      </c>
      <c r="CP92">
        <f t="shared" si="75"/>
        <v>1869.48</v>
      </c>
      <c r="CQ92">
        <f t="shared" si="76"/>
        <v>154.96319999999997</v>
      </c>
      <c r="CR92">
        <f>(((ET92)*BB92-(EU92)*BS92)+AE92*BS92)</f>
        <v>0</v>
      </c>
      <c r="CS92">
        <f t="shared" si="77"/>
        <v>0</v>
      </c>
      <c r="CT92">
        <f t="shared" si="78"/>
        <v>0</v>
      </c>
      <c r="CU92">
        <f t="shared" si="79"/>
        <v>0</v>
      </c>
      <c r="CV92">
        <f t="shared" si="80"/>
        <v>0</v>
      </c>
      <c r="CW92">
        <f t="shared" si="81"/>
        <v>0</v>
      </c>
      <c r="CX92">
        <f t="shared" si="82"/>
        <v>0</v>
      </c>
      <c r="CY92">
        <f t="shared" si="83"/>
        <v>0</v>
      </c>
      <c r="CZ92">
        <f t="shared" si="84"/>
        <v>0</v>
      </c>
      <c r="DN92">
        <v>0</v>
      </c>
      <c r="DO92">
        <v>0</v>
      </c>
      <c r="DP92">
        <v>1</v>
      </c>
      <c r="DQ92">
        <v>1</v>
      </c>
      <c r="DU92">
        <v>1005</v>
      </c>
      <c r="DV92" t="s">
        <v>154</v>
      </c>
      <c r="DW92" t="s">
        <v>154</v>
      </c>
      <c r="DX92">
        <v>1</v>
      </c>
      <c r="EE92">
        <v>55471665</v>
      </c>
      <c r="EF92">
        <v>2</v>
      </c>
      <c r="EG92" t="s">
        <v>28</v>
      </c>
      <c r="EH92">
        <v>12</v>
      </c>
      <c r="EI92" t="s">
        <v>121</v>
      </c>
      <c r="EJ92">
        <v>1</v>
      </c>
      <c r="EK92">
        <v>12001</v>
      </c>
      <c r="EL92" t="s">
        <v>121</v>
      </c>
      <c r="EM92" t="s">
        <v>122</v>
      </c>
      <c r="EQ92">
        <v>0</v>
      </c>
      <c r="ER92">
        <v>23.06</v>
      </c>
      <c r="ES92">
        <v>23.06</v>
      </c>
      <c r="ET92">
        <v>0</v>
      </c>
      <c r="EU92">
        <v>0</v>
      </c>
      <c r="EV92">
        <v>0</v>
      </c>
      <c r="EW92">
        <v>0</v>
      </c>
      <c r="EX92">
        <v>0</v>
      </c>
      <c r="FQ92">
        <v>0</v>
      </c>
      <c r="FR92">
        <f t="shared" si="85"/>
        <v>0</v>
      </c>
      <c r="FS92">
        <v>0</v>
      </c>
      <c r="FX92">
        <v>109</v>
      </c>
      <c r="FY92">
        <v>57</v>
      </c>
      <c r="GD92">
        <v>1</v>
      </c>
      <c r="GF92">
        <v>-211967687</v>
      </c>
      <c r="GG92">
        <v>2</v>
      </c>
      <c r="GH92">
        <v>1</v>
      </c>
      <c r="GI92">
        <v>4</v>
      </c>
      <c r="GJ92">
        <v>0</v>
      </c>
      <c r="GK92">
        <v>0</v>
      </c>
      <c r="GL92">
        <f t="shared" si="86"/>
        <v>0</v>
      </c>
      <c r="GM92">
        <f t="shared" si="87"/>
        <v>1869.48</v>
      </c>
      <c r="GN92">
        <f t="shared" si="88"/>
        <v>1869.48</v>
      </c>
      <c r="GO92">
        <f t="shared" si="89"/>
        <v>0</v>
      </c>
      <c r="GP92">
        <f t="shared" si="90"/>
        <v>0</v>
      </c>
      <c r="GR92">
        <v>0</v>
      </c>
      <c r="GS92">
        <v>3</v>
      </c>
      <c r="GT92">
        <v>0</v>
      </c>
      <c r="GV92">
        <f t="shared" si="91"/>
        <v>0</v>
      </c>
      <c r="GW92">
        <v>1</v>
      </c>
      <c r="GX92">
        <f t="shared" si="92"/>
        <v>0</v>
      </c>
      <c r="HA92">
        <v>0</v>
      </c>
      <c r="HB92">
        <v>0</v>
      </c>
      <c r="HC92">
        <f t="shared" si="93"/>
        <v>0</v>
      </c>
      <c r="HN92" t="s">
        <v>124</v>
      </c>
      <c r="HO92" t="s">
        <v>125</v>
      </c>
      <c r="HP92" t="s">
        <v>121</v>
      </c>
      <c r="HQ92" t="s">
        <v>121</v>
      </c>
      <c r="IK92">
        <v>0</v>
      </c>
    </row>
    <row r="93" spans="1:255" ht="12.75">
      <c r="A93" s="2">
        <v>18</v>
      </c>
      <c r="B93" s="2">
        <v>1</v>
      </c>
      <c r="C93" s="2">
        <v>94</v>
      </c>
      <c r="D93" s="2"/>
      <c r="E93" s="2" t="s">
        <v>166</v>
      </c>
      <c r="F93" s="2" t="s">
        <v>157</v>
      </c>
      <c r="G93" s="2" t="s">
        <v>158</v>
      </c>
      <c r="H93" s="2" t="s">
        <v>154</v>
      </c>
      <c r="I93" s="2">
        <f>I89*J93</f>
        <v>11.856</v>
      </c>
      <c r="J93" s="2">
        <v>114</v>
      </c>
      <c r="K93" s="2">
        <v>114</v>
      </c>
      <c r="L93" s="2"/>
      <c r="M93" s="2"/>
      <c r="N93" s="2"/>
      <c r="O93" s="2">
        <f t="shared" si="61"/>
        <v>297.47</v>
      </c>
      <c r="P93" s="2">
        <f t="shared" si="62"/>
        <v>297.47</v>
      </c>
      <c r="Q93" s="2">
        <f t="shared" si="63"/>
        <v>0</v>
      </c>
      <c r="R93" s="2">
        <f t="shared" si="64"/>
        <v>0</v>
      </c>
      <c r="S93" s="2">
        <f t="shared" si="65"/>
        <v>0</v>
      </c>
      <c r="T93" s="2">
        <f t="shared" si="66"/>
        <v>0</v>
      </c>
      <c r="U93" s="2">
        <f t="shared" si="67"/>
        <v>0</v>
      </c>
      <c r="V93" s="2">
        <f t="shared" si="68"/>
        <v>0</v>
      </c>
      <c r="W93" s="2">
        <f t="shared" si="69"/>
        <v>0</v>
      </c>
      <c r="X93" s="2">
        <f t="shared" si="70"/>
        <v>0</v>
      </c>
      <c r="Y93" s="2">
        <f t="shared" si="71"/>
        <v>0</v>
      </c>
      <c r="Z93" s="2"/>
      <c r="AA93" s="2">
        <v>55655398</v>
      </c>
      <c r="AB93" s="2">
        <f t="shared" si="72"/>
        <v>25.09</v>
      </c>
      <c r="AC93" s="2">
        <f t="shared" si="94"/>
        <v>25.09</v>
      </c>
      <c r="AD93" s="2">
        <f>ROUND((((ET93)-(EU93))+AE93),2)</f>
        <v>0</v>
      </c>
      <c r="AE93" s="2">
        <f t="shared" si="103"/>
        <v>0</v>
      </c>
      <c r="AF93" s="2">
        <f t="shared" si="103"/>
        <v>0</v>
      </c>
      <c r="AG93" s="2">
        <f t="shared" si="73"/>
        <v>0</v>
      </c>
      <c r="AH93" s="2">
        <f t="shared" si="104"/>
        <v>0</v>
      </c>
      <c r="AI93" s="2">
        <f t="shared" si="104"/>
        <v>0</v>
      </c>
      <c r="AJ93" s="2">
        <f t="shared" si="74"/>
        <v>0</v>
      </c>
      <c r="AK93" s="2">
        <v>25.09</v>
      </c>
      <c r="AL93" s="2">
        <v>25.09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109</v>
      </c>
      <c r="AU93" s="2">
        <v>57</v>
      </c>
      <c r="AV93" s="2">
        <v>1</v>
      </c>
      <c r="AW93" s="2">
        <v>1</v>
      </c>
      <c r="AX93" s="2"/>
      <c r="AY93" s="2"/>
      <c r="AZ93" s="2">
        <v>1</v>
      </c>
      <c r="BA93" s="2">
        <v>1</v>
      </c>
      <c r="BB93" s="2">
        <v>1</v>
      </c>
      <c r="BC93" s="2">
        <v>1</v>
      </c>
      <c r="BD93" s="2" t="s">
        <v>3</v>
      </c>
      <c r="BE93" s="2" t="s">
        <v>3</v>
      </c>
      <c r="BF93" s="2" t="s">
        <v>3</v>
      </c>
      <c r="BG93" s="2" t="s">
        <v>3</v>
      </c>
      <c r="BH93" s="2">
        <v>3</v>
      </c>
      <c r="BI93" s="2">
        <v>1</v>
      </c>
      <c r="BJ93" s="2" t="s">
        <v>159</v>
      </c>
      <c r="BK93" s="2"/>
      <c r="BL93" s="2"/>
      <c r="BM93" s="2">
        <v>12001</v>
      </c>
      <c r="BN93" s="2">
        <v>0</v>
      </c>
      <c r="BO93" s="2" t="s">
        <v>3</v>
      </c>
      <c r="BP93" s="2">
        <v>0</v>
      </c>
      <c r="BQ93" s="2">
        <v>2</v>
      </c>
      <c r="BR93" s="2">
        <v>0</v>
      </c>
      <c r="BS93" s="2">
        <v>1</v>
      </c>
      <c r="BT93" s="2">
        <v>1</v>
      </c>
      <c r="BU93" s="2">
        <v>1</v>
      </c>
      <c r="BV93" s="2">
        <v>1</v>
      </c>
      <c r="BW93" s="2">
        <v>1</v>
      </c>
      <c r="BX93" s="2">
        <v>1</v>
      </c>
      <c r="BY93" s="2" t="s">
        <v>3</v>
      </c>
      <c r="BZ93" s="2">
        <v>109</v>
      </c>
      <c r="CA93" s="2">
        <v>57</v>
      </c>
      <c r="CB93" s="2" t="s">
        <v>3</v>
      </c>
      <c r="CC93" s="2"/>
      <c r="CD93" s="2"/>
      <c r="CE93" s="2">
        <v>0</v>
      </c>
      <c r="CF93" s="2">
        <v>0</v>
      </c>
      <c r="CG93" s="2">
        <v>0</v>
      </c>
      <c r="CH93" s="2"/>
      <c r="CI93" s="2"/>
      <c r="CJ93" s="2"/>
      <c r="CK93" s="2"/>
      <c r="CL93" s="2"/>
      <c r="CM93" s="2">
        <v>0</v>
      </c>
      <c r="CN93" s="2" t="s">
        <v>3</v>
      </c>
      <c r="CO93" s="2">
        <v>0</v>
      </c>
      <c r="CP93" s="2">
        <f t="shared" si="75"/>
        <v>297.47</v>
      </c>
      <c r="CQ93" s="2">
        <f t="shared" si="76"/>
        <v>25.09</v>
      </c>
      <c r="CR93" s="2">
        <f>(((ET93)*BB93-(EU93)*BS93)+AE93*BS93)</f>
        <v>0</v>
      </c>
      <c r="CS93" s="2">
        <f t="shared" si="77"/>
        <v>0</v>
      </c>
      <c r="CT93" s="2">
        <f t="shared" si="78"/>
        <v>0</v>
      </c>
      <c r="CU93" s="2">
        <f t="shared" si="79"/>
        <v>0</v>
      </c>
      <c r="CV93" s="2">
        <f t="shared" si="80"/>
        <v>0</v>
      </c>
      <c r="CW93" s="2">
        <f t="shared" si="81"/>
        <v>0</v>
      </c>
      <c r="CX93" s="2">
        <f t="shared" si="82"/>
        <v>0</v>
      </c>
      <c r="CY93" s="2">
        <f t="shared" si="83"/>
        <v>0</v>
      </c>
      <c r="CZ93" s="2">
        <f t="shared" si="84"/>
        <v>0</v>
      </c>
      <c r="DA93" s="2"/>
      <c r="DB93" s="2"/>
      <c r="DC93" s="2" t="s">
        <v>3</v>
      </c>
      <c r="DD93" s="2" t="s">
        <v>3</v>
      </c>
      <c r="DE93" s="2" t="s">
        <v>3</v>
      </c>
      <c r="DF93" s="2" t="s">
        <v>3</v>
      </c>
      <c r="DG93" s="2" t="s">
        <v>3</v>
      </c>
      <c r="DH93" s="2" t="s">
        <v>3</v>
      </c>
      <c r="DI93" s="2" t="s">
        <v>3</v>
      </c>
      <c r="DJ93" s="2" t="s">
        <v>3</v>
      </c>
      <c r="DK93" s="2" t="s">
        <v>3</v>
      </c>
      <c r="DL93" s="2" t="s">
        <v>3</v>
      </c>
      <c r="DM93" s="2" t="s">
        <v>3</v>
      </c>
      <c r="DN93" s="2">
        <v>0</v>
      </c>
      <c r="DO93" s="2">
        <v>0</v>
      </c>
      <c r="DP93" s="2">
        <v>1</v>
      </c>
      <c r="DQ93" s="2">
        <v>1</v>
      </c>
      <c r="DR93" s="2"/>
      <c r="DS93" s="2"/>
      <c r="DT93" s="2"/>
      <c r="DU93" s="2">
        <v>1005</v>
      </c>
      <c r="DV93" s="2" t="s">
        <v>154</v>
      </c>
      <c r="DW93" s="2" t="s">
        <v>154</v>
      </c>
      <c r="DX93" s="2">
        <v>1</v>
      </c>
      <c r="DY93" s="2"/>
      <c r="DZ93" s="2" t="s">
        <v>3</v>
      </c>
      <c r="EA93" s="2" t="s">
        <v>3</v>
      </c>
      <c r="EB93" s="2" t="s">
        <v>3</v>
      </c>
      <c r="EC93" s="2" t="s">
        <v>3</v>
      </c>
      <c r="ED93" s="2"/>
      <c r="EE93" s="2">
        <v>55471665</v>
      </c>
      <c r="EF93" s="2">
        <v>2</v>
      </c>
      <c r="EG93" s="2" t="s">
        <v>28</v>
      </c>
      <c r="EH93" s="2">
        <v>12</v>
      </c>
      <c r="EI93" s="2" t="s">
        <v>121</v>
      </c>
      <c r="EJ93" s="2">
        <v>1</v>
      </c>
      <c r="EK93" s="2">
        <v>12001</v>
      </c>
      <c r="EL93" s="2" t="s">
        <v>121</v>
      </c>
      <c r="EM93" s="2" t="s">
        <v>122</v>
      </c>
      <c r="EN93" s="2"/>
      <c r="EO93" s="2" t="s">
        <v>3</v>
      </c>
      <c r="EP93" s="2"/>
      <c r="EQ93" s="2">
        <v>0</v>
      </c>
      <c r="ER93" s="2">
        <v>25.09</v>
      </c>
      <c r="ES93" s="2">
        <v>25.09</v>
      </c>
      <c r="ET93" s="2">
        <v>0</v>
      </c>
      <c r="EU93" s="2">
        <v>0</v>
      </c>
      <c r="EV93" s="2">
        <v>0</v>
      </c>
      <c r="EW93" s="2">
        <v>0</v>
      </c>
      <c r="EX93" s="2">
        <v>0</v>
      </c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>
        <v>0</v>
      </c>
      <c r="FR93" s="2">
        <f t="shared" si="85"/>
        <v>0</v>
      </c>
      <c r="FS93" s="2">
        <v>0</v>
      </c>
      <c r="FT93" s="2"/>
      <c r="FU93" s="2"/>
      <c r="FV93" s="2"/>
      <c r="FW93" s="2"/>
      <c r="FX93" s="2">
        <v>109</v>
      </c>
      <c r="FY93" s="2">
        <v>57</v>
      </c>
      <c r="FZ93" s="2"/>
      <c r="GA93" s="2" t="s">
        <v>3</v>
      </c>
      <c r="GB93" s="2"/>
      <c r="GC93" s="2"/>
      <c r="GD93" s="2">
        <v>1</v>
      </c>
      <c r="GE93" s="2"/>
      <c r="GF93" s="2">
        <v>1866959067</v>
      </c>
      <c r="GG93" s="2">
        <v>2</v>
      </c>
      <c r="GH93" s="2">
        <v>1</v>
      </c>
      <c r="GI93" s="2">
        <v>-2</v>
      </c>
      <c r="GJ93" s="2">
        <v>0</v>
      </c>
      <c r="GK93" s="2">
        <v>0</v>
      </c>
      <c r="GL93" s="2">
        <f t="shared" si="86"/>
        <v>0</v>
      </c>
      <c r="GM93" s="2">
        <f t="shared" si="87"/>
        <v>297.47</v>
      </c>
      <c r="GN93" s="2">
        <f t="shared" si="88"/>
        <v>297.47</v>
      </c>
      <c r="GO93" s="2">
        <f t="shared" si="89"/>
        <v>0</v>
      </c>
      <c r="GP93" s="2">
        <f t="shared" si="90"/>
        <v>0</v>
      </c>
      <c r="GQ93" s="2"/>
      <c r="GR93" s="2">
        <v>0</v>
      </c>
      <c r="GS93" s="2">
        <v>3</v>
      </c>
      <c r="GT93" s="2">
        <v>0</v>
      </c>
      <c r="GU93" s="2" t="s">
        <v>3</v>
      </c>
      <c r="GV93" s="2">
        <f t="shared" si="91"/>
        <v>0</v>
      </c>
      <c r="GW93" s="2">
        <v>1</v>
      </c>
      <c r="GX93" s="2">
        <f t="shared" si="92"/>
        <v>0</v>
      </c>
      <c r="GY93" s="2"/>
      <c r="GZ93" s="2"/>
      <c r="HA93" s="2">
        <v>0</v>
      </c>
      <c r="HB93" s="2">
        <v>0</v>
      </c>
      <c r="HC93" s="2">
        <f t="shared" si="93"/>
        <v>0</v>
      </c>
      <c r="HD93" s="2"/>
      <c r="HE93" s="2" t="s">
        <v>3</v>
      </c>
      <c r="HF93" s="2" t="s">
        <v>3</v>
      </c>
      <c r="HG93" s="2"/>
      <c r="HH93" s="2"/>
      <c r="HI93" s="2"/>
      <c r="HJ93" s="2"/>
      <c r="HK93" s="2"/>
      <c r="HL93" s="2"/>
      <c r="HM93" s="2" t="s">
        <v>3</v>
      </c>
      <c r="HN93" s="2" t="s">
        <v>124</v>
      </c>
      <c r="HO93" s="2" t="s">
        <v>125</v>
      </c>
      <c r="HP93" s="2" t="s">
        <v>121</v>
      </c>
      <c r="HQ93" s="2" t="s">
        <v>121</v>
      </c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>
        <v>0</v>
      </c>
      <c r="IL93" s="2"/>
      <c r="IM93" s="2"/>
      <c r="IN93" s="2"/>
      <c r="IO93" s="2"/>
      <c r="IP93" s="2"/>
      <c r="IQ93" s="2"/>
      <c r="IR93" s="2"/>
      <c r="IS93" s="2"/>
      <c r="IT93" s="2"/>
      <c r="IU93" s="2"/>
    </row>
    <row r="94" spans="1:245" ht="12.75">
      <c r="A94">
        <v>18</v>
      </c>
      <c r="B94">
        <v>1</v>
      </c>
      <c r="C94">
        <v>103</v>
      </c>
      <c r="E94" t="s">
        <v>166</v>
      </c>
      <c r="F94" t="s">
        <v>157</v>
      </c>
      <c r="G94" t="s">
        <v>158</v>
      </c>
      <c r="H94" t="s">
        <v>154</v>
      </c>
      <c r="I94">
        <f>I90*J94</f>
        <v>11.856</v>
      </c>
      <c r="J94">
        <v>114</v>
      </c>
      <c r="K94">
        <v>114</v>
      </c>
      <c r="O94">
        <f t="shared" si="61"/>
        <v>1998.98</v>
      </c>
      <c r="P94">
        <f t="shared" si="62"/>
        <v>1998.98</v>
      </c>
      <c r="Q94">
        <f t="shared" si="63"/>
        <v>0</v>
      </c>
      <c r="R94">
        <f t="shared" si="64"/>
        <v>0</v>
      </c>
      <c r="S94">
        <f t="shared" si="65"/>
        <v>0</v>
      </c>
      <c r="T94">
        <f t="shared" si="66"/>
        <v>0</v>
      </c>
      <c r="U94">
        <f t="shared" si="67"/>
        <v>0</v>
      </c>
      <c r="V94">
        <f t="shared" si="68"/>
        <v>0</v>
      </c>
      <c r="W94">
        <f t="shared" si="69"/>
        <v>0</v>
      </c>
      <c r="X94">
        <f t="shared" si="70"/>
        <v>0</v>
      </c>
      <c r="Y94">
        <f t="shared" si="71"/>
        <v>0</v>
      </c>
      <c r="AA94">
        <v>55655399</v>
      </c>
      <c r="AB94">
        <f t="shared" si="72"/>
        <v>25.09</v>
      </c>
      <c r="AC94">
        <f t="shared" si="94"/>
        <v>25.09</v>
      </c>
      <c r="AD94">
        <f>ROUND((((ET94)-(EU94))+AE94),2)</f>
        <v>0</v>
      </c>
      <c r="AE94">
        <f t="shared" si="103"/>
        <v>0</v>
      </c>
      <c r="AF94">
        <f t="shared" si="103"/>
        <v>0</v>
      </c>
      <c r="AG94">
        <f t="shared" si="73"/>
        <v>0</v>
      </c>
      <c r="AH94">
        <f t="shared" si="104"/>
        <v>0</v>
      </c>
      <c r="AI94">
        <f t="shared" si="104"/>
        <v>0</v>
      </c>
      <c r="AJ94">
        <f t="shared" si="74"/>
        <v>0</v>
      </c>
      <c r="AK94">
        <v>25.09</v>
      </c>
      <c r="AL94">
        <v>25.09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109</v>
      </c>
      <c r="AU94">
        <v>57</v>
      </c>
      <c r="AV94">
        <v>1</v>
      </c>
      <c r="AW94">
        <v>1</v>
      </c>
      <c r="AZ94">
        <v>1</v>
      </c>
      <c r="BA94">
        <v>1</v>
      </c>
      <c r="BB94">
        <v>1</v>
      </c>
      <c r="BC94">
        <v>6.72</v>
      </c>
      <c r="BH94">
        <v>3</v>
      </c>
      <c r="BI94">
        <v>1</v>
      </c>
      <c r="BJ94" t="s">
        <v>159</v>
      </c>
      <c r="BM94">
        <v>12001</v>
      </c>
      <c r="BN94">
        <v>0</v>
      </c>
      <c r="BO94" t="s">
        <v>34</v>
      </c>
      <c r="BP94">
        <v>1</v>
      </c>
      <c r="BQ94">
        <v>2</v>
      </c>
      <c r="BR94">
        <v>0</v>
      </c>
      <c r="BS94">
        <v>1</v>
      </c>
      <c r="BT94">
        <v>1</v>
      </c>
      <c r="BU94">
        <v>1</v>
      </c>
      <c r="BV94">
        <v>1</v>
      </c>
      <c r="BW94">
        <v>1</v>
      </c>
      <c r="BX94">
        <v>1</v>
      </c>
      <c r="BZ94">
        <v>109</v>
      </c>
      <c r="CA94">
        <v>57</v>
      </c>
      <c r="CE94">
        <v>0</v>
      </c>
      <c r="CF94">
        <v>0</v>
      </c>
      <c r="CG94">
        <v>0</v>
      </c>
      <c r="CM94">
        <v>0</v>
      </c>
      <c r="CO94">
        <v>0</v>
      </c>
      <c r="CP94">
        <f t="shared" si="75"/>
        <v>1998.98</v>
      </c>
      <c r="CQ94">
        <f t="shared" si="76"/>
        <v>168.60479999999998</v>
      </c>
      <c r="CR94">
        <f>(((ET94)*BB94-(EU94)*BS94)+AE94*BS94)</f>
        <v>0</v>
      </c>
      <c r="CS94">
        <f t="shared" si="77"/>
        <v>0</v>
      </c>
      <c r="CT94">
        <f t="shared" si="78"/>
        <v>0</v>
      </c>
      <c r="CU94">
        <f t="shared" si="79"/>
        <v>0</v>
      </c>
      <c r="CV94">
        <f t="shared" si="80"/>
        <v>0</v>
      </c>
      <c r="CW94">
        <f t="shared" si="81"/>
        <v>0</v>
      </c>
      <c r="CX94">
        <f t="shared" si="82"/>
        <v>0</v>
      </c>
      <c r="CY94">
        <f t="shared" si="83"/>
        <v>0</v>
      </c>
      <c r="CZ94">
        <f t="shared" si="84"/>
        <v>0</v>
      </c>
      <c r="DN94">
        <v>0</v>
      </c>
      <c r="DO94">
        <v>0</v>
      </c>
      <c r="DP94">
        <v>1</v>
      </c>
      <c r="DQ94">
        <v>1</v>
      </c>
      <c r="DU94">
        <v>1005</v>
      </c>
      <c r="DV94" t="s">
        <v>154</v>
      </c>
      <c r="DW94" t="s">
        <v>154</v>
      </c>
      <c r="DX94">
        <v>1</v>
      </c>
      <c r="EE94">
        <v>55471665</v>
      </c>
      <c r="EF94">
        <v>2</v>
      </c>
      <c r="EG94" t="s">
        <v>28</v>
      </c>
      <c r="EH94">
        <v>12</v>
      </c>
      <c r="EI94" t="s">
        <v>121</v>
      </c>
      <c r="EJ94">
        <v>1</v>
      </c>
      <c r="EK94">
        <v>12001</v>
      </c>
      <c r="EL94" t="s">
        <v>121</v>
      </c>
      <c r="EM94" t="s">
        <v>122</v>
      </c>
      <c r="EQ94">
        <v>0</v>
      </c>
      <c r="ER94">
        <v>25.09</v>
      </c>
      <c r="ES94">
        <v>25.09</v>
      </c>
      <c r="ET94">
        <v>0</v>
      </c>
      <c r="EU94">
        <v>0</v>
      </c>
      <c r="EV94">
        <v>0</v>
      </c>
      <c r="EW94">
        <v>0</v>
      </c>
      <c r="EX94">
        <v>0</v>
      </c>
      <c r="FQ94">
        <v>0</v>
      </c>
      <c r="FR94">
        <f t="shared" si="85"/>
        <v>0</v>
      </c>
      <c r="FS94">
        <v>0</v>
      </c>
      <c r="FX94">
        <v>109</v>
      </c>
      <c r="FY94">
        <v>57</v>
      </c>
      <c r="GD94">
        <v>1</v>
      </c>
      <c r="GF94">
        <v>1866959067</v>
      </c>
      <c r="GG94">
        <v>2</v>
      </c>
      <c r="GH94">
        <v>1</v>
      </c>
      <c r="GI94">
        <v>4</v>
      </c>
      <c r="GJ94">
        <v>0</v>
      </c>
      <c r="GK94">
        <v>0</v>
      </c>
      <c r="GL94">
        <f t="shared" si="86"/>
        <v>0</v>
      </c>
      <c r="GM94">
        <f t="shared" si="87"/>
        <v>1998.98</v>
      </c>
      <c r="GN94">
        <f t="shared" si="88"/>
        <v>1998.98</v>
      </c>
      <c r="GO94">
        <f t="shared" si="89"/>
        <v>0</v>
      </c>
      <c r="GP94">
        <f t="shared" si="90"/>
        <v>0</v>
      </c>
      <c r="GR94">
        <v>0</v>
      </c>
      <c r="GS94">
        <v>3</v>
      </c>
      <c r="GT94">
        <v>0</v>
      </c>
      <c r="GV94">
        <f t="shared" si="91"/>
        <v>0</v>
      </c>
      <c r="GW94">
        <v>1</v>
      </c>
      <c r="GX94">
        <f t="shared" si="92"/>
        <v>0</v>
      </c>
      <c r="HA94">
        <v>0</v>
      </c>
      <c r="HB94">
        <v>0</v>
      </c>
      <c r="HC94">
        <f t="shared" si="93"/>
        <v>0</v>
      </c>
      <c r="HN94" t="s">
        <v>124</v>
      </c>
      <c r="HO94" t="s">
        <v>125</v>
      </c>
      <c r="HP94" t="s">
        <v>121</v>
      </c>
      <c r="HQ94" t="s">
        <v>121</v>
      </c>
      <c r="IK94">
        <v>0</v>
      </c>
    </row>
    <row r="96" spans="1:206" ht="12.75">
      <c r="A96" s="3">
        <v>51</v>
      </c>
      <c r="B96" s="3">
        <f>B67</f>
        <v>1</v>
      </c>
      <c r="C96" s="3">
        <f>A67</f>
        <v>4</v>
      </c>
      <c r="D96" s="3">
        <f>ROW(A67)</f>
        <v>67</v>
      </c>
      <c r="E96" s="3"/>
      <c r="F96" s="3" t="str">
        <f>IF(F67&lt;&gt;"",F67,"")</f>
        <v>Новый раздел</v>
      </c>
      <c r="G96" s="3" t="str">
        <f>IF(G67&lt;&gt;"",G67,"")</f>
        <v>Монтажные работы</v>
      </c>
      <c r="H96" s="3">
        <v>0</v>
      </c>
      <c r="I96" s="3"/>
      <c r="J96" s="3"/>
      <c r="K96" s="3"/>
      <c r="L96" s="3"/>
      <c r="M96" s="3"/>
      <c r="N96" s="3"/>
      <c r="O96" s="3">
        <f aca="true" t="shared" si="105" ref="O96:T96">ROUND(AB96,2)</f>
        <v>22218.87</v>
      </c>
      <c r="P96" s="3">
        <f t="shared" si="105"/>
        <v>20974.53</v>
      </c>
      <c r="Q96" s="3">
        <f t="shared" si="105"/>
        <v>368.9</v>
      </c>
      <c r="R96" s="3">
        <f t="shared" si="105"/>
        <v>46.63</v>
      </c>
      <c r="S96" s="3">
        <f t="shared" si="105"/>
        <v>875.44</v>
      </c>
      <c r="T96" s="3">
        <f t="shared" si="105"/>
        <v>0</v>
      </c>
      <c r="U96" s="3">
        <f>AH96</f>
        <v>97.61590999999999</v>
      </c>
      <c r="V96" s="3">
        <f>AI96</f>
        <v>3.9850499999999998</v>
      </c>
      <c r="W96" s="3">
        <f>ROUND(AJ96,2)</f>
        <v>0</v>
      </c>
      <c r="X96" s="3">
        <f>ROUND(AK96,2)</f>
        <v>904.55</v>
      </c>
      <c r="Y96" s="3">
        <f>ROUND(AL96,2)</f>
        <v>446.73</v>
      </c>
      <c r="Z96" s="3"/>
      <c r="AA96" s="3"/>
      <c r="AB96" s="3">
        <f>ROUND(SUMIF(AA71:AA94,"=55655398",O71:O94),2)</f>
        <v>22218.87</v>
      </c>
      <c r="AC96" s="3">
        <f>ROUND(SUMIF(AA71:AA94,"=55655398",P71:P94),2)</f>
        <v>20974.53</v>
      </c>
      <c r="AD96" s="3">
        <f>ROUND(SUMIF(AA71:AA94,"=55655398",Q71:Q94),2)</f>
        <v>368.9</v>
      </c>
      <c r="AE96" s="3">
        <f>ROUND(SUMIF(AA71:AA94,"=55655398",R71:R94),2)</f>
        <v>46.63</v>
      </c>
      <c r="AF96" s="3">
        <f>ROUND(SUMIF(AA71:AA94,"=55655398",S71:S94),2)</f>
        <v>875.44</v>
      </c>
      <c r="AG96" s="3">
        <f>ROUND(SUMIF(AA71:AA94,"=55655398",T71:T94),2)</f>
        <v>0</v>
      </c>
      <c r="AH96" s="3">
        <f>SUMIF(AA71:AA94,"=55655398",U71:U94)</f>
        <v>97.61590999999999</v>
      </c>
      <c r="AI96" s="3">
        <f>SUMIF(AA71:AA94,"=55655398",V71:V94)</f>
        <v>3.9850499999999998</v>
      </c>
      <c r="AJ96" s="3">
        <f>ROUND(SUMIF(AA71:AA94,"=55655398",W71:W94),2)</f>
        <v>0</v>
      </c>
      <c r="AK96" s="3">
        <f>ROUND(SUMIF(AA71:AA94,"=55655398",X71:X94),2)</f>
        <v>904.55</v>
      </c>
      <c r="AL96" s="3">
        <f>ROUND(SUMIF(AA71:AA94,"=55655398",Y71:Y94),2)</f>
        <v>446.73</v>
      </c>
      <c r="AM96" s="3"/>
      <c r="AN96" s="3"/>
      <c r="AO96" s="3">
        <f aca="true" t="shared" si="106" ref="AO96:BD96">ROUND(BX96,2)</f>
        <v>0</v>
      </c>
      <c r="AP96" s="3">
        <f t="shared" si="106"/>
        <v>0</v>
      </c>
      <c r="AQ96" s="3">
        <f t="shared" si="106"/>
        <v>0</v>
      </c>
      <c r="AR96" s="3">
        <f t="shared" si="106"/>
        <v>23570.15</v>
      </c>
      <c r="AS96" s="3">
        <f t="shared" si="106"/>
        <v>23570.15</v>
      </c>
      <c r="AT96" s="3">
        <f t="shared" si="106"/>
        <v>0</v>
      </c>
      <c r="AU96" s="3">
        <f t="shared" si="106"/>
        <v>0</v>
      </c>
      <c r="AV96" s="3">
        <f t="shared" si="106"/>
        <v>20974.53</v>
      </c>
      <c r="AW96" s="3">
        <f t="shared" si="106"/>
        <v>20974.53</v>
      </c>
      <c r="AX96" s="3">
        <f t="shared" si="106"/>
        <v>0</v>
      </c>
      <c r="AY96" s="3">
        <f t="shared" si="106"/>
        <v>20974.53</v>
      </c>
      <c r="AZ96" s="3">
        <f t="shared" si="106"/>
        <v>0</v>
      </c>
      <c r="BA96" s="3">
        <f t="shared" si="106"/>
        <v>0</v>
      </c>
      <c r="BB96" s="3">
        <f t="shared" si="106"/>
        <v>0</v>
      </c>
      <c r="BC96" s="3">
        <f t="shared" si="106"/>
        <v>0</v>
      </c>
      <c r="BD96" s="3">
        <f t="shared" si="106"/>
        <v>0</v>
      </c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>
        <f>ROUND(SUMIF(AA71:AA94,"=55655398",FQ71:FQ94),2)</f>
        <v>0</v>
      </c>
      <c r="BY96" s="3">
        <f>ROUND(SUMIF(AA71:AA94,"=55655398",FR71:FR94),2)</f>
        <v>0</v>
      </c>
      <c r="BZ96" s="3">
        <f>ROUND(SUMIF(AA71:AA94,"=55655398",GL71:GL94),2)</f>
        <v>0</v>
      </c>
      <c r="CA96" s="3">
        <f>ROUND(SUMIF(AA71:AA94,"=55655398",GM71:GM94),2)</f>
        <v>23570.15</v>
      </c>
      <c r="CB96" s="3">
        <f>ROUND(SUMIF(AA71:AA94,"=55655398",GN71:GN94),2)</f>
        <v>23570.15</v>
      </c>
      <c r="CC96" s="3">
        <f>ROUND(SUMIF(AA71:AA94,"=55655398",GO71:GO94),2)</f>
        <v>0</v>
      </c>
      <c r="CD96" s="3">
        <f>ROUND(SUMIF(AA71:AA94,"=55655398",GP71:GP94),2)</f>
        <v>0</v>
      </c>
      <c r="CE96" s="3">
        <f>AC96-BX96</f>
        <v>20974.53</v>
      </c>
      <c r="CF96" s="3">
        <f>AC96-BY96</f>
        <v>20974.53</v>
      </c>
      <c r="CG96" s="3">
        <f>BX96-BZ96</f>
        <v>0</v>
      </c>
      <c r="CH96" s="3">
        <f>AC96-BX96-BY96+BZ96</f>
        <v>20974.53</v>
      </c>
      <c r="CI96" s="3">
        <f>BY96-BZ96</f>
        <v>0</v>
      </c>
      <c r="CJ96" s="3">
        <f>ROUND(SUMIF(AA71:AA94,"=55655398",GX71:GX94),2)</f>
        <v>0</v>
      </c>
      <c r="CK96" s="3">
        <f>ROUND(SUMIF(AA71:AA94,"=55655398",GY71:GY94),2)</f>
        <v>0</v>
      </c>
      <c r="CL96" s="3">
        <f>ROUND(SUMIF(AA71:AA94,"=55655398",GZ71:GZ94),2)</f>
        <v>0</v>
      </c>
      <c r="CM96" s="3">
        <f>ROUND(SUMIF(AA71:AA94,"=55655398",HD71:HD94),2)</f>
        <v>0</v>
      </c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4">
        <f aca="true" t="shared" si="107" ref="DG96:DL96">ROUND(DT96,2)</f>
        <v>178522.44</v>
      </c>
      <c r="DH96" s="4">
        <f t="shared" si="107"/>
        <v>140948.72</v>
      </c>
      <c r="DI96" s="4">
        <f t="shared" si="107"/>
        <v>4885.08</v>
      </c>
      <c r="DJ96" s="4">
        <f t="shared" si="107"/>
        <v>1741.35</v>
      </c>
      <c r="DK96" s="4">
        <f t="shared" si="107"/>
        <v>32688.64</v>
      </c>
      <c r="DL96" s="4">
        <f t="shared" si="107"/>
        <v>0</v>
      </c>
      <c r="DM96" s="4">
        <f>DZ96</f>
        <v>97.61590999999999</v>
      </c>
      <c r="DN96" s="4">
        <f>EA96</f>
        <v>3.9850499999999998</v>
      </c>
      <c r="DO96" s="4">
        <f>ROUND(EB96,2)</f>
        <v>0</v>
      </c>
      <c r="DP96" s="4">
        <f>ROUND(EC96,2)</f>
        <v>33775.81</v>
      </c>
      <c r="DQ96" s="4">
        <f>ROUND(ED96,2)</f>
        <v>16681.34</v>
      </c>
      <c r="DR96" s="4"/>
      <c r="DS96" s="4"/>
      <c r="DT96" s="4">
        <f>ROUND(SUMIF(AA71:AA94,"=55655399",O71:O94),2)</f>
        <v>178522.44</v>
      </c>
      <c r="DU96" s="4">
        <f>ROUND(SUMIF(AA71:AA94,"=55655399",P71:P94),2)</f>
        <v>140948.72</v>
      </c>
      <c r="DV96" s="4">
        <f>ROUND(SUMIF(AA71:AA94,"=55655399",Q71:Q94),2)</f>
        <v>4885.08</v>
      </c>
      <c r="DW96" s="4">
        <f>ROUND(SUMIF(AA71:AA94,"=55655399",R71:R94),2)</f>
        <v>1741.35</v>
      </c>
      <c r="DX96" s="4">
        <f>ROUND(SUMIF(AA71:AA94,"=55655399",S71:S94),2)</f>
        <v>32688.64</v>
      </c>
      <c r="DY96" s="4">
        <f>ROUND(SUMIF(AA71:AA94,"=55655399",T71:T94),2)</f>
        <v>0</v>
      </c>
      <c r="DZ96" s="4">
        <f>SUMIF(AA71:AA94,"=55655399",U71:U94)</f>
        <v>97.61590999999999</v>
      </c>
      <c r="EA96" s="4">
        <f>SUMIF(AA71:AA94,"=55655399",V71:V94)</f>
        <v>3.9850499999999998</v>
      </c>
      <c r="EB96" s="4">
        <f>ROUND(SUMIF(AA71:AA94,"=55655399",W71:W94),2)</f>
        <v>0</v>
      </c>
      <c r="EC96" s="4">
        <f>ROUND(SUMIF(AA71:AA94,"=55655399",X71:X94),2)</f>
        <v>33775.81</v>
      </c>
      <c r="ED96" s="4">
        <f>ROUND(SUMIF(AA71:AA94,"=55655399",Y71:Y94),2)</f>
        <v>16681.34</v>
      </c>
      <c r="EE96" s="4"/>
      <c r="EF96" s="4"/>
      <c r="EG96" s="4">
        <f aca="true" t="shared" si="108" ref="EG96:EV96">ROUND(FP96,2)</f>
        <v>0</v>
      </c>
      <c r="EH96" s="4">
        <f t="shared" si="108"/>
        <v>0</v>
      </c>
      <c r="EI96" s="4">
        <f t="shared" si="108"/>
        <v>0</v>
      </c>
      <c r="EJ96" s="4">
        <f t="shared" si="108"/>
        <v>228979.59</v>
      </c>
      <c r="EK96" s="4">
        <f t="shared" si="108"/>
        <v>228979.59</v>
      </c>
      <c r="EL96" s="4">
        <f t="shared" si="108"/>
        <v>0</v>
      </c>
      <c r="EM96" s="4">
        <f t="shared" si="108"/>
        <v>0</v>
      </c>
      <c r="EN96" s="4">
        <f t="shared" si="108"/>
        <v>140948.72</v>
      </c>
      <c r="EO96" s="4">
        <f t="shared" si="108"/>
        <v>140948.72</v>
      </c>
      <c r="EP96" s="4">
        <f t="shared" si="108"/>
        <v>0</v>
      </c>
      <c r="EQ96" s="4">
        <f t="shared" si="108"/>
        <v>140948.72</v>
      </c>
      <c r="ER96" s="4">
        <f t="shared" si="108"/>
        <v>0</v>
      </c>
      <c r="ES96" s="4">
        <f t="shared" si="108"/>
        <v>0</v>
      </c>
      <c r="ET96" s="4">
        <f t="shared" si="108"/>
        <v>0</v>
      </c>
      <c r="EU96" s="4">
        <f t="shared" si="108"/>
        <v>0</v>
      </c>
      <c r="EV96" s="4">
        <f t="shared" si="108"/>
        <v>0</v>
      </c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>
        <f>ROUND(SUMIF(AA71:AA94,"=55655399",FQ71:FQ94),2)</f>
        <v>0</v>
      </c>
      <c r="FQ96" s="4">
        <f>ROUND(SUMIF(AA71:AA94,"=55655399",FR71:FR94),2)</f>
        <v>0</v>
      </c>
      <c r="FR96" s="4">
        <f>ROUND(SUMIF(AA71:AA94,"=55655399",GL71:GL94),2)</f>
        <v>0</v>
      </c>
      <c r="FS96" s="4">
        <f>ROUND(SUMIF(AA71:AA94,"=55655399",GM71:GM94),2)</f>
        <v>228979.59</v>
      </c>
      <c r="FT96" s="4">
        <f>ROUND(SUMIF(AA71:AA94,"=55655399",GN71:GN94),2)</f>
        <v>228979.59</v>
      </c>
      <c r="FU96" s="4">
        <f>ROUND(SUMIF(AA71:AA94,"=55655399",GO71:GO94),2)</f>
        <v>0</v>
      </c>
      <c r="FV96" s="4">
        <f>ROUND(SUMIF(AA71:AA94,"=55655399",GP71:GP94),2)</f>
        <v>0</v>
      </c>
      <c r="FW96" s="4">
        <f>DU96-FP96</f>
        <v>140948.72</v>
      </c>
      <c r="FX96" s="4">
        <f>DU96-FQ96</f>
        <v>140948.72</v>
      </c>
      <c r="FY96" s="4">
        <f>FP96-FR96</f>
        <v>0</v>
      </c>
      <c r="FZ96" s="4">
        <f>DU96-FP96-FQ96+FR96</f>
        <v>140948.72</v>
      </c>
      <c r="GA96" s="4">
        <f>FQ96-FR96</f>
        <v>0</v>
      </c>
      <c r="GB96" s="4">
        <f>ROUND(SUMIF(AA71:AA94,"=55655399",GX71:GX94),2)</f>
        <v>0</v>
      </c>
      <c r="GC96" s="4">
        <f>ROUND(SUMIF(AA71:AA94,"=55655399",GY71:GY94),2)</f>
        <v>0</v>
      </c>
      <c r="GD96" s="4">
        <f>ROUND(SUMIF(AA71:AA94,"=55655399",GZ71:GZ94),2)</f>
        <v>0</v>
      </c>
      <c r="GE96" s="4">
        <f>ROUND(SUMIF(AA71:AA94,"=55655399",HD71:HD94),2)</f>
        <v>0</v>
      </c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>
        <v>0</v>
      </c>
    </row>
    <row r="98" spans="1:28" ht="12.75">
      <c r="A98" s="5">
        <v>50</v>
      </c>
      <c r="B98" s="5">
        <v>0</v>
      </c>
      <c r="C98" s="5">
        <v>0</v>
      </c>
      <c r="D98" s="5">
        <v>1</v>
      </c>
      <c r="E98" s="5">
        <v>201</v>
      </c>
      <c r="F98" s="5">
        <f>ROUND(Source!O96,O98)</f>
        <v>22218.87</v>
      </c>
      <c r="G98" s="5" t="s">
        <v>58</v>
      </c>
      <c r="H98" s="5" t="s">
        <v>59</v>
      </c>
      <c r="I98" s="5"/>
      <c r="J98" s="5"/>
      <c r="K98" s="5">
        <v>201</v>
      </c>
      <c r="L98" s="5">
        <v>1</v>
      </c>
      <c r="M98" s="5">
        <v>3</v>
      </c>
      <c r="N98" s="5" t="s">
        <v>3</v>
      </c>
      <c r="O98" s="5">
        <v>2</v>
      </c>
      <c r="P98" s="5">
        <f>ROUND(Source!DG96,O98)</f>
        <v>178522.44</v>
      </c>
      <c r="Q98" s="5"/>
      <c r="R98" s="5"/>
      <c r="S98" s="5"/>
      <c r="T98" s="5"/>
      <c r="U98" s="5"/>
      <c r="V98" s="5"/>
      <c r="W98" s="5">
        <v>22218.87</v>
      </c>
      <c r="X98" s="5">
        <v>1</v>
      </c>
      <c r="Y98" s="5">
        <v>22218.87</v>
      </c>
      <c r="Z98" s="5">
        <v>178522.44</v>
      </c>
      <c r="AA98" s="5">
        <v>1</v>
      </c>
      <c r="AB98" s="5">
        <v>178522.44</v>
      </c>
    </row>
    <row r="99" spans="1:28" ht="12.75">
      <c r="A99" s="5">
        <v>50</v>
      </c>
      <c r="B99" s="5">
        <v>0</v>
      </c>
      <c r="C99" s="5">
        <v>0</v>
      </c>
      <c r="D99" s="5">
        <v>1</v>
      </c>
      <c r="E99" s="5">
        <v>202</v>
      </c>
      <c r="F99" s="5">
        <f>ROUND(Source!P96,O99)</f>
        <v>20974.53</v>
      </c>
      <c r="G99" s="5" t="s">
        <v>60</v>
      </c>
      <c r="H99" s="5" t="s">
        <v>61</v>
      </c>
      <c r="I99" s="5"/>
      <c r="J99" s="5"/>
      <c r="K99" s="5">
        <v>202</v>
      </c>
      <c r="L99" s="5">
        <v>2</v>
      </c>
      <c r="M99" s="5">
        <v>3</v>
      </c>
      <c r="N99" s="5" t="s">
        <v>3</v>
      </c>
      <c r="O99" s="5">
        <v>2</v>
      </c>
      <c r="P99" s="5">
        <f>ROUND(Source!DH96,O99)</f>
        <v>140948.72</v>
      </c>
      <c r="Q99" s="5"/>
      <c r="R99" s="5"/>
      <c r="S99" s="5"/>
      <c r="T99" s="5"/>
      <c r="U99" s="5"/>
      <c r="V99" s="5"/>
      <c r="W99" s="5">
        <v>20974.53</v>
      </c>
      <c r="X99" s="5">
        <v>1</v>
      </c>
      <c r="Y99" s="5">
        <v>20974.53</v>
      </c>
      <c r="Z99" s="5">
        <v>140948.72</v>
      </c>
      <c r="AA99" s="5">
        <v>1</v>
      </c>
      <c r="AB99" s="5">
        <v>140948.72</v>
      </c>
    </row>
    <row r="100" spans="1:28" ht="12.75">
      <c r="A100" s="5">
        <v>50</v>
      </c>
      <c r="B100" s="5">
        <v>0</v>
      </c>
      <c r="C100" s="5">
        <v>0</v>
      </c>
      <c r="D100" s="5">
        <v>1</v>
      </c>
      <c r="E100" s="5">
        <v>222</v>
      </c>
      <c r="F100" s="5">
        <f>ROUND(Source!AO96,O100)</f>
        <v>0</v>
      </c>
      <c r="G100" s="5" t="s">
        <v>62</v>
      </c>
      <c r="H100" s="5" t="s">
        <v>63</v>
      </c>
      <c r="I100" s="5"/>
      <c r="J100" s="5"/>
      <c r="K100" s="5">
        <v>222</v>
      </c>
      <c r="L100" s="5">
        <v>3</v>
      </c>
      <c r="M100" s="5">
        <v>3</v>
      </c>
      <c r="N100" s="5" t="s">
        <v>3</v>
      </c>
      <c r="O100" s="5">
        <v>2</v>
      </c>
      <c r="P100" s="5">
        <f>ROUND(Source!EG96,O100)</f>
        <v>0</v>
      </c>
      <c r="Q100" s="5"/>
      <c r="R100" s="5"/>
      <c r="S100" s="5"/>
      <c r="T100" s="5"/>
      <c r="U100" s="5"/>
      <c r="V100" s="5"/>
      <c r="W100" s="5">
        <v>0</v>
      </c>
      <c r="X100" s="5">
        <v>1</v>
      </c>
      <c r="Y100" s="5">
        <v>0</v>
      </c>
      <c r="Z100" s="5">
        <v>0</v>
      </c>
      <c r="AA100" s="5">
        <v>1</v>
      </c>
      <c r="AB100" s="5">
        <v>0</v>
      </c>
    </row>
    <row r="101" spans="1:28" ht="12.75">
      <c r="A101" s="5">
        <v>50</v>
      </c>
      <c r="B101" s="5">
        <v>0</v>
      </c>
      <c r="C101" s="5">
        <v>0</v>
      </c>
      <c r="D101" s="5">
        <v>1</v>
      </c>
      <c r="E101" s="5">
        <v>225</v>
      </c>
      <c r="F101" s="5">
        <f>ROUND(Source!AV96,O101)</f>
        <v>20974.53</v>
      </c>
      <c r="G101" s="5" t="s">
        <v>64</v>
      </c>
      <c r="H101" s="5" t="s">
        <v>65</v>
      </c>
      <c r="I101" s="5"/>
      <c r="J101" s="5"/>
      <c r="K101" s="5">
        <v>225</v>
      </c>
      <c r="L101" s="5">
        <v>4</v>
      </c>
      <c r="M101" s="5">
        <v>3</v>
      </c>
      <c r="N101" s="5" t="s">
        <v>3</v>
      </c>
      <c r="O101" s="5">
        <v>2</v>
      </c>
      <c r="P101" s="5">
        <f>ROUND(Source!EN96,O101)</f>
        <v>140948.72</v>
      </c>
      <c r="Q101" s="5"/>
      <c r="R101" s="5"/>
      <c r="S101" s="5"/>
      <c r="T101" s="5"/>
      <c r="U101" s="5"/>
      <c r="V101" s="5"/>
      <c r="W101" s="5">
        <v>20974.53</v>
      </c>
      <c r="X101" s="5">
        <v>1</v>
      </c>
      <c r="Y101" s="5">
        <v>20974.53</v>
      </c>
      <c r="Z101" s="5">
        <v>140948.72</v>
      </c>
      <c r="AA101" s="5">
        <v>1</v>
      </c>
      <c r="AB101" s="5">
        <v>140948.72</v>
      </c>
    </row>
    <row r="102" spans="1:28" ht="12.75">
      <c r="A102" s="5">
        <v>50</v>
      </c>
      <c r="B102" s="5">
        <v>0</v>
      </c>
      <c r="C102" s="5">
        <v>0</v>
      </c>
      <c r="D102" s="5">
        <v>1</v>
      </c>
      <c r="E102" s="5">
        <v>226</v>
      </c>
      <c r="F102" s="5">
        <f>ROUND(Source!AW96,O102)</f>
        <v>20974.53</v>
      </c>
      <c r="G102" s="5" t="s">
        <v>66</v>
      </c>
      <c r="H102" s="5" t="s">
        <v>67</v>
      </c>
      <c r="I102" s="5"/>
      <c r="J102" s="5"/>
      <c r="K102" s="5">
        <v>226</v>
      </c>
      <c r="L102" s="5">
        <v>5</v>
      </c>
      <c r="M102" s="5">
        <v>3</v>
      </c>
      <c r="N102" s="5" t="s">
        <v>3</v>
      </c>
      <c r="O102" s="5">
        <v>2</v>
      </c>
      <c r="P102" s="5">
        <f>ROUND(Source!EO96,O102)</f>
        <v>140948.72</v>
      </c>
      <c r="Q102" s="5"/>
      <c r="R102" s="5"/>
      <c r="S102" s="5"/>
      <c r="T102" s="5"/>
      <c r="U102" s="5"/>
      <c r="V102" s="5"/>
      <c r="W102" s="5">
        <v>20974.53</v>
      </c>
      <c r="X102" s="5">
        <v>1</v>
      </c>
      <c r="Y102" s="5">
        <v>20974.53</v>
      </c>
      <c r="Z102" s="5">
        <v>140948.72</v>
      </c>
      <c r="AA102" s="5">
        <v>1</v>
      </c>
      <c r="AB102" s="5">
        <v>140948.72</v>
      </c>
    </row>
    <row r="103" spans="1:28" ht="12.75">
      <c r="A103" s="5">
        <v>50</v>
      </c>
      <c r="B103" s="5">
        <v>0</v>
      </c>
      <c r="C103" s="5">
        <v>0</v>
      </c>
      <c r="D103" s="5">
        <v>1</v>
      </c>
      <c r="E103" s="5">
        <v>227</v>
      </c>
      <c r="F103" s="5">
        <f>ROUND(Source!AX96,O103)</f>
        <v>0</v>
      </c>
      <c r="G103" s="5" t="s">
        <v>68</v>
      </c>
      <c r="H103" s="5" t="s">
        <v>69</v>
      </c>
      <c r="I103" s="5"/>
      <c r="J103" s="5"/>
      <c r="K103" s="5">
        <v>227</v>
      </c>
      <c r="L103" s="5">
        <v>6</v>
      </c>
      <c r="M103" s="5">
        <v>3</v>
      </c>
      <c r="N103" s="5" t="s">
        <v>3</v>
      </c>
      <c r="O103" s="5">
        <v>2</v>
      </c>
      <c r="P103" s="5">
        <f>ROUND(Source!EP96,O103)</f>
        <v>0</v>
      </c>
      <c r="Q103" s="5"/>
      <c r="R103" s="5"/>
      <c r="S103" s="5"/>
      <c r="T103" s="5"/>
      <c r="U103" s="5"/>
      <c r="V103" s="5"/>
      <c r="W103" s="5">
        <v>0</v>
      </c>
      <c r="X103" s="5">
        <v>1</v>
      </c>
      <c r="Y103" s="5">
        <v>0</v>
      </c>
      <c r="Z103" s="5">
        <v>0</v>
      </c>
      <c r="AA103" s="5">
        <v>1</v>
      </c>
      <c r="AB103" s="5">
        <v>0</v>
      </c>
    </row>
    <row r="104" spans="1:28" ht="12.75">
      <c r="A104" s="5">
        <v>50</v>
      </c>
      <c r="B104" s="5">
        <v>0</v>
      </c>
      <c r="C104" s="5">
        <v>0</v>
      </c>
      <c r="D104" s="5">
        <v>1</v>
      </c>
      <c r="E104" s="5">
        <v>228</v>
      </c>
      <c r="F104" s="5">
        <f>ROUND(Source!AY96,O104)</f>
        <v>20974.53</v>
      </c>
      <c r="G104" s="5" t="s">
        <v>70</v>
      </c>
      <c r="H104" s="5" t="s">
        <v>71</v>
      </c>
      <c r="I104" s="5"/>
      <c r="J104" s="5"/>
      <c r="K104" s="5">
        <v>228</v>
      </c>
      <c r="L104" s="5">
        <v>7</v>
      </c>
      <c r="M104" s="5">
        <v>3</v>
      </c>
      <c r="N104" s="5" t="s">
        <v>3</v>
      </c>
      <c r="O104" s="5">
        <v>2</v>
      </c>
      <c r="P104" s="5">
        <f>ROUND(Source!EQ96,O104)</f>
        <v>140948.72</v>
      </c>
      <c r="Q104" s="5"/>
      <c r="R104" s="5"/>
      <c r="S104" s="5"/>
      <c r="T104" s="5"/>
      <c r="U104" s="5"/>
      <c r="V104" s="5"/>
      <c r="W104" s="5">
        <v>20974.53</v>
      </c>
      <c r="X104" s="5">
        <v>1</v>
      </c>
      <c r="Y104" s="5">
        <v>20974.53</v>
      </c>
      <c r="Z104" s="5">
        <v>140948.72</v>
      </c>
      <c r="AA104" s="5">
        <v>1</v>
      </c>
      <c r="AB104" s="5">
        <v>140948.72</v>
      </c>
    </row>
    <row r="105" spans="1:28" ht="12.75">
      <c r="A105" s="5">
        <v>50</v>
      </c>
      <c r="B105" s="5">
        <v>0</v>
      </c>
      <c r="C105" s="5">
        <v>0</v>
      </c>
      <c r="D105" s="5">
        <v>1</v>
      </c>
      <c r="E105" s="5">
        <v>216</v>
      </c>
      <c r="F105" s="5">
        <f>ROUND(Source!AP96,O105)</f>
        <v>0</v>
      </c>
      <c r="G105" s="5" t="s">
        <v>72</v>
      </c>
      <c r="H105" s="5" t="s">
        <v>73</v>
      </c>
      <c r="I105" s="5"/>
      <c r="J105" s="5"/>
      <c r="K105" s="5">
        <v>216</v>
      </c>
      <c r="L105" s="5">
        <v>8</v>
      </c>
      <c r="M105" s="5">
        <v>3</v>
      </c>
      <c r="N105" s="5" t="s">
        <v>3</v>
      </c>
      <c r="O105" s="5">
        <v>2</v>
      </c>
      <c r="P105" s="5">
        <f>ROUND(Source!EH96,O105)</f>
        <v>0</v>
      </c>
      <c r="Q105" s="5"/>
      <c r="R105" s="5"/>
      <c r="S105" s="5"/>
      <c r="T105" s="5"/>
      <c r="U105" s="5"/>
      <c r="V105" s="5"/>
      <c r="W105" s="5">
        <v>0</v>
      </c>
      <c r="X105" s="5">
        <v>1</v>
      </c>
      <c r="Y105" s="5">
        <v>0</v>
      </c>
      <c r="Z105" s="5">
        <v>0</v>
      </c>
      <c r="AA105" s="5">
        <v>1</v>
      </c>
      <c r="AB105" s="5">
        <v>0</v>
      </c>
    </row>
    <row r="106" spans="1:28" ht="12.75">
      <c r="A106" s="5">
        <v>50</v>
      </c>
      <c r="B106" s="5">
        <v>0</v>
      </c>
      <c r="C106" s="5">
        <v>0</v>
      </c>
      <c r="D106" s="5">
        <v>1</v>
      </c>
      <c r="E106" s="5">
        <v>223</v>
      </c>
      <c r="F106" s="5">
        <f>ROUND(Source!AQ96,O106)</f>
        <v>0</v>
      </c>
      <c r="G106" s="5" t="s">
        <v>74</v>
      </c>
      <c r="H106" s="5" t="s">
        <v>75</v>
      </c>
      <c r="I106" s="5"/>
      <c r="J106" s="5"/>
      <c r="K106" s="5">
        <v>223</v>
      </c>
      <c r="L106" s="5">
        <v>9</v>
      </c>
      <c r="M106" s="5">
        <v>3</v>
      </c>
      <c r="N106" s="5" t="s">
        <v>3</v>
      </c>
      <c r="O106" s="5">
        <v>2</v>
      </c>
      <c r="P106" s="5">
        <f>ROUND(Source!EI96,O106)</f>
        <v>0</v>
      </c>
      <c r="Q106" s="5"/>
      <c r="R106" s="5"/>
      <c r="S106" s="5"/>
      <c r="T106" s="5"/>
      <c r="U106" s="5"/>
      <c r="V106" s="5"/>
      <c r="W106" s="5">
        <v>0</v>
      </c>
      <c r="X106" s="5">
        <v>1</v>
      </c>
      <c r="Y106" s="5">
        <v>0</v>
      </c>
      <c r="Z106" s="5">
        <v>0</v>
      </c>
      <c r="AA106" s="5">
        <v>1</v>
      </c>
      <c r="AB106" s="5">
        <v>0</v>
      </c>
    </row>
    <row r="107" spans="1:28" ht="12.75">
      <c r="A107" s="5">
        <v>50</v>
      </c>
      <c r="B107" s="5">
        <v>0</v>
      </c>
      <c r="C107" s="5">
        <v>0</v>
      </c>
      <c r="D107" s="5">
        <v>1</v>
      </c>
      <c r="E107" s="5">
        <v>229</v>
      </c>
      <c r="F107" s="5">
        <f>ROUND(Source!AZ96,O107)</f>
        <v>0</v>
      </c>
      <c r="G107" s="5" t="s">
        <v>76</v>
      </c>
      <c r="H107" s="5" t="s">
        <v>77</v>
      </c>
      <c r="I107" s="5"/>
      <c r="J107" s="5"/>
      <c r="K107" s="5">
        <v>229</v>
      </c>
      <c r="L107" s="5">
        <v>10</v>
      </c>
      <c r="M107" s="5">
        <v>3</v>
      </c>
      <c r="N107" s="5" t="s">
        <v>3</v>
      </c>
      <c r="O107" s="5">
        <v>2</v>
      </c>
      <c r="P107" s="5">
        <f>ROUND(Source!ER96,O107)</f>
        <v>0</v>
      </c>
      <c r="Q107" s="5"/>
      <c r="R107" s="5"/>
      <c r="S107" s="5"/>
      <c r="T107" s="5"/>
      <c r="U107" s="5"/>
      <c r="V107" s="5"/>
      <c r="W107" s="5">
        <v>0</v>
      </c>
      <c r="X107" s="5">
        <v>1</v>
      </c>
      <c r="Y107" s="5">
        <v>0</v>
      </c>
      <c r="Z107" s="5">
        <v>0</v>
      </c>
      <c r="AA107" s="5">
        <v>1</v>
      </c>
      <c r="AB107" s="5">
        <v>0</v>
      </c>
    </row>
    <row r="108" spans="1:28" ht="12.75">
      <c r="A108" s="5">
        <v>50</v>
      </c>
      <c r="B108" s="5">
        <v>0</v>
      </c>
      <c r="C108" s="5">
        <v>0</v>
      </c>
      <c r="D108" s="5">
        <v>1</v>
      </c>
      <c r="E108" s="5">
        <v>203</v>
      </c>
      <c r="F108" s="5">
        <f>ROUND(Source!Q96,O108)</f>
        <v>368.9</v>
      </c>
      <c r="G108" s="5" t="s">
        <v>78</v>
      </c>
      <c r="H108" s="5" t="s">
        <v>79</v>
      </c>
      <c r="I108" s="5"/>
      <c r="J108" s="5"/>
      <c r="K108" s="5">
        <v>203</v>
      </c>
      <c r="L108" s="5">
        <v>11</v>
      </c>
      <c r="M108" s="5">
        <v>3</v>
      </c>
      <c r="N108" s="5" t="s">
        <v>3</v>
      </c>
      <c r="O108" s="5">
        <v>2</v>
      </c>
      <c r="P108" s="5">
        <f>ROUND(Source!DI96,O108)</f>
        <v>4885.08</v>
      </c>
      <c r="Q108" s="5"/>
      <c r="R108" s="5"/>
      <c r="S108" s="5"/>
      <c r="T108" s="5"/>
      <c r="U108" s="5"/>
      <c r="V108" s="5"/>
      <c r="W108" s="5">
        <v>368.9</v>
      </c>
      <c r="X108" s="5">
        <v>1</v>
      </c>
      <c r="Y108" s="5">
        <v>368.9</v>
      </c>
      <c r="Z108" s="5">
        <v>4885.079999999999</v>
      </c>
      <c r="AA108" s="5">
        <v>1</v>
      </c>
      <c r="AB108" s="5">
        <v>4885.079999999999</v>
      </c>
    </row>
    <row r="109" spans="1:28" ht="12.75">
      <c r="A109" s="5">
        <v>50</v>
      </c>
      <c r="B109" s="5">
        <v>0</v>
      </c>
      <c r="C109" s="5">
        <v>0</v>
      </c>
      <c r="D109" s="5">
        <v>1</v>
      </c>
      <c r="E109" s="5">
        <v>231</v>
      </c>
      <c r="F109" s="5">
        <f>ROUND(Source!BB96,O109)</f>
        <v>0</v>
      </c>
      <c r="G109" s="5" t="s">
        <v>80</v>
      </c>
      <c r="H109" s="5" t="s">
        <v>81</v>
      </c>
      <c r="I109" s="5"/>
      <c r="J109" s="5"/>
      <c r="K109" s="5">
        <v>231</v>
      </c>
      <c r="L109" s="5">
        <v>12</v>
      </c>
      <c r="M109" s="5">
        <v>3</v>
      </c>
      <c r="N109" s="5" t="s">
        <v>3</v>
      </c>
      <c r="O109" s="5">
        <v>2</v>
      </c>
      <c r="P109" s="5">
        <f>ROUND(Source!ET96,O109)</f>
        <v>0</v>
      </c>
      <c r="Q109" s="5"/>
      <c r="R109" s="5"/>
      <c r="S109" s="5"/>
      <c r="T109" s="5"/>
      <c r="U109" s="5"/>
      <c r="V109" s="5"/>
      <c r="W109" s="5">
        <v>0</v>
      </c>
      <c r="X109" s="5">
        <v>1</v>
      </c>
      <c r="Y109" s="5">
        <v>0</v>
      </c>
      <c r="Z109" s="5">
        <v>0</v>
      </c>
      <c r="AA109" s="5">
        <v>1</v>
      </c>
      <c r="AB109" s="5">
        <v>0</v>
      </c>
    </row>
    <row r="110" spans="1:28" ht="12.75">
      <c r="A110" s="5">
        <v>50</v>
      </c>
      <c r="B110" s="5">
        <v>0</v>
      </c>
      <c r="C110" s="5">
        <v>0</v>
      </c>
      <c r="D110" s="5">
        <v>1</v>
      </c>
      <c r="E110" s="5">
        <v>204</v>
      </c>
      <c r="F110" s="5">
        <f>ROUND(Source!R96,O110)</f>
        <v>46.63</v>
      </c>
      <c r="G110" s="5" t="s">
        <v>82</v>
      </c>
      <c r="H110" s="5" t="s">
        <v>83</v>
      </c>
      <c r="I110" s="5"/>
      <c r="J110" s="5"/>
      <c r="K110" s="5">
        <v>204</v>
      </c>
      <c r="L110" s="5">
        <v>13</v>
      </c>
      <c r="M110" s="5">
        <v>3</v>
      </c>
      <c r="N110" s="5" t="s">
        <v>3</v>
      </c>
      <c r="O110" s="5">
        <v>2</v>
      </c>
      <c r="P110" s="5">
        <f>ROUND(Source!DJ96,O110)</f>
        <v>1741.35</v>
      </c>
      <c r="Q110" s="5"/>
      <c r="R110" s="5"/>
      <c r="S110" s="5"/>
      <c r="T110" s="5"/>
      <c r="U110" s="5"/>
      <c r="V110" s="5"/>
      <c r="W110" s="5">
        <v>46.63</v>
      </c>
      <c r="X110" s="5">
        <v>1</v>
      </c>
      <c r="Y110" s="5">
        <v>46.63</v>
      </c>
      <c r="Z110" s="5">
        <v>1741.3500000000001</v>
      </c>
      <c r="AA110" s="5">
        <v>1</v>
      </c>
      <c r="AB110" s="5">
        <v>1741.3500000000001</v>
      </c>
    </row>
    <row r="111" spans="1:28" ht="12.75">
      <c r="A111" s="5">
        <v>50</v>
      </c>
      <c r="B111" s="5">
        <v>0</v>
      </c>
      <c r="C111" s="5">
        <v>0</v>
      </c>
      <c r="D111" s="5">
        <v>1</v>
      </c>
      <c r="E111" s="5">
        <v>205</v>
      </c>
      <c r="F111" s="5">
        <f>ROUND(Source!S96,O111)</f>
        <v>875.44</v>
      </c>
      <c r="G111" s="5" t="s">
        <v>84</v>
      </c>
      <c r="H111" s="5" t="s">
        <v>85</v>
      </c>
      <c r="I111" s="5"/>
      <c r="J111" s="5"/>
      <c r="K111" s="5">
        <v>205</v>
      </c>
      <c r="L111" s="5">
        <v>14</v>
      </c>
      <c r="M111" s="5">
        <v>3</v>
      </c>
      <c r="N111" s="5" t="s">
        <v>3</v>
      </c>
      <c r="O111" s="5">
        <v>2</v>
      </c>
      <c r="P111" s="5">
        <f>ROUND(Source!DK96,O111)</f>
        <v>32688.64</v>
      </c>
      <c r="Q111" s="5"/>
      <c r="R111" s="5"/>
      <c r="S111" s="5"/>
      <c r="T111" s="5"/>
      <c r="U111" s="5"/>
      <c r="V111" s="5"/>
      <c r="W111" s="5">
        <v>875.44</v>
      </c>
      <c r="X111" s="5">
        <v>1</v>
      </c>
      <c r="Y111" s="5">
        <v>875.44</v>
      </c>
      <c r="Z111" s="5">
        <v>32688.639999999996</v>
      </c>
      <c r="AA111" s="5">
        <v>1</v>
      </c>
      <c r="AB111" s="5">
        <v>32688.639999999996</v>
      </c>
    </row>
    <row r="112" spans="1:28" ht="12.75">
      <c r="A112" s="5">
        <v>50</v>
      </c>
      <c r="B112" s="5">
        <v>0</v>
      </c>
      <c r="C112" s="5">
        <v>0</v>
      </c>
      <c r="D112" s="5">
        <v>1</v>
      </c>
      <c r="E112" s="5">
        <v>232</v>
      </c>
      <c r="F112" s="5">
        <f>ROUND(Source!BC96,O112)</f>
        <v>0</v>
      </c>
      <c r="G112" s="5" t="s">
        <v>86</v>
      </c>
      <c r="H112" s="5" t="s">
        <v>87</v>
      </c>
      <c r="I112" s="5"/>
      <c r="J112" s="5"/>
      <c r="K112" s="5">
        <v>232</v>
      </c>
      <c r="L112" s="5">
        <v>15</v>
      </c>
      <c r="M112" s="5">
        <v>3</v>
      </c>
      <c r="N112" s="5" t="s">
        <v>3</v>
      </c>
      <c r="O112" s="5">
        <v>2</v>
      </c>
      <c r="P112" s="5">
        <f>ROUND(Source!EU96,O112)</f>
        <v>0</v>
      </c>
      <c r="Q112" s="5"/>
      <c r="R112" s="5"/>
      <c r="S112" s="5"/>
      <c r="T112" s="5"/>
      <c r="U112" s="5"/>
      <c r="V112" s="5"/>
      <c r="W112" s="5">
        <v>0</v>
      </c>
      <c r="X112" s="5">
        <v>1</v>
      </c>
      <c r="Y112" s="5">
        <v>0</v>
      </c>
      <c r="Z112" s="5">
        <v>0</v>
      </c>
      <c r="AA112" s="5">
        <v>1</v>
      </c>
      <c r="AB112" s="5">
        <v>0</v>
      </c>
    </row>
    <row r="113" spans="1:28" ht="12.75">
      <c r="A113" s="5">
        <v>50</v>
      </c>
      <c r="B113" s="5">
        <v>0</v>
      </c>
      <c r="C113" s="5">
        <v>0</v>
      </c>
      <c r="D113" s="5">
        <v>1</v>
      </c>
      <c r="E113" s="5">
        <v>214</v>
      </c>
      <c r="F113" s="5">
        <f>ROUND(Source!AS96,O113)</f>
        <v>23570.15</v>
      </c>
      <c r="G113" s="5" t="s">
        <v>88</v>
      </c>
      <c r="H113" s="5" t="s">
        <v>89</v>
      </c>
      <c r="I113" s="5"/>
      <c r="J113" s="5"/>
      <c r="K113" s="5">
        <v>214</v>
      </c>
      <c r="L113" s="5">
        <v>16</v>
      </c>
      <c r="M113" s="5">
        <v>3</v>
      </c>
      <c r="N113" s="5" t="s">
        <v>3</v>
      </c>
      <c r="O113" s="5">
        <v>2</v>
      </c>
      <c r="P113" s="5">
        <f>ROUND(Source!EK96,O113)</f>
        <v>228979.59</v>
      </c>
      <c r="Q113" s="5"/>
      <c r="R113" s="5"/>
      <c r="S113" s="5"/>
      <c r="T113" s="5"/>
      <c r="U113" s="5"/>
      <c r="V113" s="5"/>
      <c r="W113" s="5">
        <v>23570.15</v>
      </c>
      <c r="X113" s="5">
        <v>1</v>
      </c>
      <c r="Y113" s="5">
        <v>23570.15</v>
      </c>
      <c r="Z113" s="5">
        <v>228979.59</v>
      </c>
      <c r="AA113" s="5">
        <v>1</v>
      </c>
      <c r="AB113" s="5">
        <v>228979.59</v>
      </c>
    </row>
    <row r="114" spans="1:28" ht="12.75">
      <c r="A114" s="5">
        <v>50</v>
      </c>
      <c r="B114" s="5">
        <v>0</v>
      </c>
      <c r="C114" s="5">
        <v>0</v>
      </c>
      <c r="D114" s="5">
        <v>1</v>
      </c>
      <c r="E114" s="5">
        <v>215</v>
      </c>
      <c r="F114" s="5">
        <f>ROUND(Source!AT96,O114)</f>
        <v>0</v>
      </c>
      <c r="G114" s="5" t="s">
        <v>90</v>
      </c>
      <c r="H114" s="5" t="s">
        <v>91</v>
      </c>
      <c r="I114" s="5"/>
      <c r="J114" s="5"/>
      <c r="K114" s="5">
        <v>215</v>
      </c>
      <c r="L114" s="5">
        <v>17</v>
      </c>
      <c r="M114" s="5">
        <v>3</v>
      </c>
      <c r="N114" s="5" t="s">
        <v>3</v>
      </c>
      <c r="O114" s="5">
        <v>2</v>
      </c>
      <c r="P114" s="5">
        <f>ROUND(Source!EL96,O114)</f>
        <v>0</v>
      </c>
      <c r="Q114" s="5"/>
      <c r="R114" s="5"/>
      <c r="S114" s="5"/>
      <c r="T114" s="5"/>
      <c r="U114" s="5"/>
      <c r="V114" s="5"/>
      <c r="W114" s="5">
        <v>0</v>
      </c>
      <c r="X114" s="5">
        <v>1</v>
      </c>
      <c r="Y114" s="5">
        <v>0</v>
      </c>
      <c r="Z114" s="5">
        <v>0</v>
      </c>
      <c r="AA114" s="5">
        <v>1</v>
      </c>
      <c r="AB114" s="5">
        <v>0</v>
      </c>
    </row>
    <row r="115" spans="1:28" ht="12.75">
      <c r="A115" s="5">
        <v>50</v>
      </c>
      <c r="B115" s="5">
        <v>0</v>
      </c>
      <c r="C115" s="5">
        <v>0</v>
      </c>
      <c r="D115" s="5">
        <v>1</v>
      </c>
      <c r="E115" s="5">
        <v>217</v>
      </c>
      <c r="F115" s="5">
        <f>ROUND(Source!AU96,O115)</f>
        <v>0</v>
      </c>
      <c r="G115" s="5" t="s">
        <v>92</v>
      </c>
      <c r="H115" s="5" t="s">
        <v>93</v>
      </c>
      <c r="I115" s="5"/>
      <c r="J115" s="5"/>
      <c r="K115" s="5">
        <v>217</v>
      </c>
      <c r="L115" s="5">
        <v>18</v>
      </c>
      <c r="M115" s="5">
        <v>3</v>
      </c>
      <c r="N115" s="5" t="s">
        <v>3</v>
      </c>
      <c r="O115" s="5">
        <v>2</v>
      </c>
      <c r="P115" s="5">
        <f>ROUND(Source!EM96,O115)</f>
        <v>0</v>
      </c>
      <c r="Q115" s="5"/>
      <c r="R115" s="5"/>
      <c r="S115" s="5"/>
      <c r="T115" s="5"/>
      <c r="U115" s="5"/>
      <c r="V115" s="5"/>
      <c r="W115" s="5">
        <v>0</v>
      </c>
      <c r="X115" s="5">
        <v>1</v>
      </c>
      <c r="Y115" s="5">
        <v>0</v>
      </c>
      <c r="Z115" s="5">
        <v>0</v>
      </c>
      <c r="AA115" s="5">
        <v>1</v>
      </c>
      <c r="AB115" s="5">
        <v>0</v>
      </c>
    </row>
    <row r="116" spans="1:28" ht="12.75">
      <c r="A116" s="5">
        <v>50</v>
      </c>
      <c r="B116" s="5">
        <v>0</v>
      </c>
      <c r="C116" s="5">
        <v>0</v>
      </c>
      <c r="D116" s="5">
        <v>1</v>
      </c>
      <c r="E116" s="5">
        <v>230</v>
      </c>
      <c r="F116" s="5">
        <f>ROUND(Source!BA96,O116)</f>
        <v>0</v>
      </c>
      <c r="G116" s="5" t="s">
        <v>94</v>
      </c>
      <c r="H116" s="5" t="s">
        <v>95</v>
      </c>
      <c r="I116" s="5"/>
      <c r="J116" s="5"/>
      <c r="K116" s="5">
        <v>230</v>
      </c>
      <c r="L116" s="5">
        <v>19</v>
      </c>
      <c r="M116" s="5">
        <v>3</v>
      </c>
      <c r="N116" s="5" t="s">
        <v>3</v>
      </c>
      <c r="O116" s="5">
        <v>2</v>
      </c>
      <c r="P116" s="5">
        <f>ROUND(Source!ES96,O116)</f>
        <v>0</v>
      </c>
      <c r="Q116" s="5"/>
      <c r="R116" s="5"/>
      <c r="S116" s="5"/>
      <c r="T116" s="5"/>
      <c r="U116" s="5"/>
      <c r="V116" s="5"/>
      <c r="W116" s="5">
        <v>0</v>
      </c>
      <c r="X116" s="5">
        <v>1</v>
      </c>
      <c r="Y116" s="5">
        <v>0</v>
      </c>
      <c r="Z116" s="5">
        <v>0</v>
      </c>
      <c r="AA116" s="5">
        <v>1</v>
      </c>
      <c r="AB116" s="5">
        <v>0</v>
      </c>
    </row>
    <row r="117" spans="1:28" ht="12.75">
      <c r="A117" s="5">
        <v>50</v>
      </c>
      <c r="B117" s="5">
        <v>0</v>
      </c>
      <c r="C117" s="5">
        <v>0</v>
      </c>
      <c r="D117" s="5">
        <v>1</v>
      </c>
      <c r="E117" s="5">
        <v>206</v>
      </c>
      <c r="F117" s="5">
        <f>ROUND(Source!T96,O117)</f>
        <v>0</v>
      </c>
      <c r="G117" s="5" t="s">
        <v>96</v>
      </c>
      <c r="H117" s="5" t="s">
        <v>97</v>
      </c>
      <c r="I117" s="5"/>
      <c r="J117" s="5"/>
      <c r="K117" s="5">
        <v>206</v>
      </c>
      <c r="L117" s="5">
        <v>20</v>
      </c>
      <c r="M117" s="5">
        <v>3</v>
      </c>
      <c r="N117" s="5" t="s">
        <v>3</v>
      </c>
      <c r="O117" s="5">
        <v>2</v>
      </c>
      <c r="P117" s="5">
        <f>ROUND(Source!DL96,O117)</f>
        <v>0</v>
      </c>
      <c r="Q117" s="5"/>
      <c r="R117" s="5"/>
      <c r="S117" s="5"/>
      <c r="T117" s="5"/>
      <c r="U117" s="5"/>
      <c r="V117" s="5"/>
      <c r="W117" s="5">
        <v>0</v>
      </c>
      <c r="X117" s="5">
        <v>1</v>
      </c>
      <c r="Y117" s="5">
        <v>0</v>
      </c>
      <c r="Z117" s="5">
        <v>0</v>
      </c>
      <c r="AA117" s="5">
        <v>1</v>
      </c>
      <c r="AB117" s="5">
        <v>0</v>
      </c>
    </row>
    <row r="118" spans="1:28" ht="12.75">
      <c r="A118" s="5">
        <v>50</v>
      </c>
      <c r="B118" s="5">
        <v>0</v>
      </c>
      <c r="C118" s="5">
        <v>0</v>
      </c>
      <c r="D118" s="5">
        <v>1</v>
      </c>
      <c r="E118" s="5">
        <v>207</v>
      </c>
      <c r="F118" s="5">
        <f>Source!U96</f>
        <v>97.61590999999999</v>
      </c>
      <c r="G118" s="5" t="s">
        <v>98</v>
      </c>
      <c r="H118" s="5" t="s">
        <v>99</v>
      </c>
      <c r="I118" s="5"/>
      <c r="J118" s="5"/>
      <c r="K118" s="5">
        <v>207</v>
      </c>
      <c r="L118" s="5">
        <v>21</v>
      </c>
      <c r="M118" s="5">
        <v>3</v>
      </c>
      <c r="N118" s="5" t="s">
        <v>3</v>
      </c>
      <c r="O118" s="5">
        <v>-1</v>
      </c>
      <c r="P118" s="5">
        <f>Source!DM96</f>
        <v>97.61590999999999</v>
      </c>
      <c r="Q118" s="5"/>
      <c r="R118" s="5"/>
      <c r="S118" s="5"/>
      <c r="T118" s="5"/>
      <c r="U118" s="5"/>
      <c r="V118" s="5"/>
      <c r="W118" s="5">
        <v>97.61591</v>
      </c>
      <c r="X118" s="5">
        <v>1</v>
      </c>
      <c r="Y118" s="5">
        <v>97.61591</v>
      </c>
      <c r="Z118" s="5">
        <v>97.61591</v>
      </c>
      <c r="AA118" s="5">
        <v>1</v>
      </c>
      <c r="AB118" s="5">
        <v>97.61591</v>
      </c>
    </row>
    <row r="119" spans="1:28" ht="12.75">
      <c r="A119" s="5">
        <v>50</v>
      </c>
      <c r="B119" s="5">
        <v>0</v>
      </c>
      <c r="C119" s="5">
        <v>0</v>
      </c>
      <c r="D119" s="5">
        <v>1</v>
      </c>
      <c r="E119" s="5">
        <v>208</v>
      </c>
      <c r="F119" s="5">
        <f>Source!V96</f>
        <v>3.9850499999999998</v>
      </c>
      <c r="G119" s="5" t="s">
        <v>100</v>
      </c>
      <c r="H119" s="5" t="s">
        <v>101</v>
      </c>
      <c r="I119" s="5"/>
      <c r="J119" s="5"/>
      <c r="K119" s="5">
        <v>208</v>
      </c>
      <c r="L119" s="5">
        <v>22</v>
      </c>
      <c r="M119" s="5">
        <v>3</v>
      </c>
      <c r="N119" s="5" t="s">
        <v>3</v>
      </c>
      <c r="O119" s="5">
        <v>-1</v>
      </c>
      <c r="P119" s="5">
        <f>Source!DN96</f>
        <v>3.9850499999999998</v>
      </c>
      <c r="Q119" s="5"/>
      <c r="R119" s="5"/>
      <c r="S119" s="5"/>
      <c r="T119" s="5"/>
      <c r="U119" s="5"/>
      <c r="V119" s="5"/>
      <c r="W119" s="5">
        <v>3.98505</v>
      </c>
      <c r="X119" s="5">
        <v>1</v>
      </c>
      <c r="Y119" s="5">
        <v>3.98505</v>
      </c>
      <c r="Z119" s="5">
        <v>3.98505</v>
      </c>
      <c r="AA119" s="5">
        <v>1</v>
      </c>
      <c r="AB119" s="5">
        <v>3.98505</v>
      </c>
    </row>
    <row r="120" spans="1:28" ht="12.75">
      <c r="A120" s="5">
        <v>50</v>
      </c>
      <c r="B120" s="5">
        <v>0</v>
      </c>
      <c r="C120" s="5">
        <v>0</v>
      </c>
      <c r="D120" s="5">
        <v>1</v>
      </c>
      <c r="E120" s="5">
        <v>209</v>
      </c>
      <c r="F120" s="5">
        <f>ROUND(Source!W96,O120)</f>
        <v>0</v>
      </c>
      <c r="G120" s="5" t="s">
        <v>102</v>
      </c>
      <c r="H120" s="5" t="s">
        <v>103</v>
      </c>
      <c r="I120" s="5"/>
      <c r="J120" s="5"/>
      <c r="K120" s="5">
        <v>209</v>
      </c>
      <c r="L120" s="5">
        <v>23</v>
      </c>
      <c r="M120" s="5">
        <v>3</v>
      </c>
      <c r="N120" s="5" t="s">
        <v>3</v>
      </c>
      <c r="O120" s="5">
        <v>2</v>
      </c>
      <c r="P120" s="5">
        <f>ROUND(Source!DO96,O120)</f>
        <v>0</v>
      </c>
      <c r="Q120" s="5"/>
      <c r="R120" s="5"/>
      <c r="S120" s="5"/>
      <c r="T120" s="5"/>
      <c r="U120" s="5"/>
      <c r="V120" s="5"/>
      <c r="W120" s="5">
        <v>0</v>
      </c>
      <c r="X120" s="5">
        <v>1</v>
      </c>
      <c r="Y120" s="5">
        <v>0</v>
      </c>
      <c r="Z120" s="5">
        <v>0</v>
      </c>
      <c r="AA120" s="5">
        <v>1</v>
      </c>
      <c r="AB120" s="5">
        <v>0</v>
      </c>
    </row>
    <row r="121" spans="1:28" ht="12.75">
      <c r="A121" s="5">
        <v>50</v>
      </c>
      <c r="B121" s="5">
        <v>0</v>
      </c>
      <c r="C121" s="5">
        <v>0</v>
      </c>
      <c r="D121" s="5">
        <v>1</v>
      </c>
      <c r="E121" s="5">
        <v>233</v>
      </c>
      <c r="F121" s="5">
        <f>ROUND(Source!BD96,O121)</f>
        <v>0</v>
      </c>
      <c r="G121" s="5" t="s">
        <v>104</v>
      </c>
      <c r="H121" s="5" t="s">
        <v>105</v>
      </c>
      <c r="I121" s="5"/>
      <c r="J121" s="5"/>
      <c r="K121" s="5">
        <v>233</v>
      </c>
      <c r="L121" s="5">
        <v>24</v>
      </c>
      <c r="M121" s="5">
        <v>3</v>
      </c>
      <c r="N121" s="5" t="s">
        <v>3</v>
      </c>
      <c r="O121" s="5">
        <v>2</v>
      </c>
      <c r="P121" s="5">
        <f>ROUND(Source!EV96,O121)</f>
        <v>0</v>
      </c>
      <c r="Q121" s="5"/>
      <c r="R121" s="5"/>
      <c r="S121" s="5"/>
      <c r="T121" s="5"/>
      <c r="U121" s="5"/>
      <c r="V121" s="5"/>
      <c r="W121" s="5">
        <v>0</v>
      </c>
      <c r="X121" s="5">
        <v>1</v>
      </c>
      <c r="Y121" s="5">
        <v>0</v>
      </c>
      <c r="Z121" s="5">
        <v>0</v>
      </c>
      <c r="AA121" s="5">
        <v>1</v>
      </c>
      <c r="AB121" s="5">
        <v>0</v>
      </c>
    </row>
    <row r="122" spans="1:28" ht="12.75">
      <c r="A122" s="5">
        <v>50</v>
      </c>
      <c r="B122" s="5">
        <v>0</v>
      </c>
      <c r="C122" s="5">
        <v>0</v>
      </c>
      <c r="D122" s="5">
        <v>1</v>
      </c>
      <c r="E122" s="5">
        <v>210</v>
      </c>
      <c r="F122" s="5">
        <f>ROUND(Source!X96,O122)</f>
        <v>904.55</v>
      </c>
      <c r="G122" s="5" t="s">
        <v>106</v>
      </c>
      <c r="H122" s="5" t="s">
        <v>107</v>
      </c>
      <c r="I122" s="5"/>
      <c r="J122" s="5"/>
      <c r="K122" s="5">
        <v>210</v>
      </c>
      <c r="L122" s="5">
        <v>25</v>
      </c>
      <c r="M122" s="5">
        <v>3</v>
      </c>
      <c r="N122" s="5" t="s">
        <v>3</v>
      </c>
      <c r="O122" s="5">
        <v>2</v>
      </c>
      <c r="P122" s="5">
        <f>ROUND(Source!DP96,O122)</f>
        <v>33775.81</v>
      </c>
      <c r="Q122" s="5"/>
      <c r="R122" s="5"/>
      <c r="S122" s="5"/>
      <c r="T122" s="5"/>
      <c r="U122" s="5"/>
      <c r="V122" s="5"/>
      <c r="W122" s="5">
        <v>904.55</v>
      </c>
      <c r="X122" s="5">
        <v>1</v>
      </c>
      <c r="Y122" s="5">
        <v>904.55</v>
      </c>
      <c r="Z122" s="5">
        <v>33775.81</v>
      </c>
      <c r="AA122" s="5">
        <v>1</v>
      </c>
      <c r="AB122" s="5">
        <v>33775.81</v>
      </c>
    </row>
    <row r="123" spans="1:28" ht="12.75">
      <c r="A123" s="5">
        <v>50</v>
      </c>
      <c r="B123" s="5">
        <v>0</v>
      </c>
      <c r="C123" s="5">
        <v>0</v>
      </c>
      <c r="D123" s="5">
        <v>1</v>
      </c>
      <c r="E123" s="5">
        <v>211</v>
      </c>
      <c r="F123" s="5">
        <f>ROUND(Source!Y96,O123)</f>
        <v>446.73</v>
      </c>
      <c r="G123" s="5" t="s">
        <v>108</v>
      </c>
      <c r="H123" s="5" t="s">
        <v>109</v>
      </c>
      <c r="I123" s="5"/>
      <c r="J123" s="5"/>
      <c r="K123" s="5">
        <v>211</v>
      </c>
      <c r="L123" s="5">
        <v>26</v>
      </c>
      <c r="M123" s="5">
        <v>3</v>
      </c>
      <c r="N123" s="5" t="s">
        <v>3</v>
      </c>
      <c r="O123" s="5">
        <v>2</v>
      </c>
      <c r="P123" s="5">
        <f>ROUND(Source!DQ96,O123)</f>
        <v>16681.34</v>
      </c>
      <c r="Q123" s="5"/>
      <c r="R123" s="5"/>
      <c r="S123" s="5"/>
      <c r="T123" s="5"/>
      <c r="U123" s="5"/>
      <c r="V123" s="5"/>
      <c r="W123" s="5">
        <v>446.73</v>
      </c>
      <c r="X123" s="5">
        <v>1</v>
      </c>
      <c r="Y123" s="5">
        <v>446.73</v>
      </c>
      <c r="Z123" s="5">
        <v>16681.34</v>
      </c>
      <c r="AA123" s="5">
        <v>1</v>
      </c>
      <c r="AB123" s="5">
        <v>16681.34</v>
      </c>
    </row>
    <row r="124" spans="1:28" ht="12.75">
      <c r="A124" s="5">
        <v>50</v>
      </c>
      <c r="B124" s="5">
        <v>0</v>
      </c>
      <c r="C124" s="5">
        <v>0</v>
      </c>
      <c r="D124" s="5">
        <v>1</v>
      </c>
      <c r="E124" s="5">
        <v>224</v>
      </c>
      <c r="F124" s="5">
        <f>ROUND(Source!AR96,O124)</f>
        <v>23570.15</v>
      </c>
      <c r="G124" s="5" t="s">
        <v>110</v>
      </c>
      <c r="H124" s="5" t="s">
        <v>111</v>
      </c>
      <c r="I124" s="5"/>
      <c r="J124" s="5"/>
      <c r="K124" s="5">
        <v>224</v>
      </c>
      <c r="L124" s="5">
        <v>27</v>
      </c>
      <c r="M124" s="5">
        <v>3</v>
      </c>
      <c r="N124" s="5" t="s">
        <v>3</v>
      </c>
      <c r="O124" s="5">
        <v>2</v>
      </c>
      <c r="P124" s="5">
        <f>ROUND(Source!EJ96,O124)</f>
        <v>228979.59</v>
      </c>
      <c r="Q124" s="5"/>
      <c r="R124" s="5"/>
      <c r="S124" s="5"/>
      <c r="T124" s="5"/>
      <c r="U124" s="5"/>
      <c r="V124" s="5"/>
      <c r="W124" s="5">
        <v>23570.149999999998</v>
      </c>
      <c r="X124" s="5">
        <v>1</v>
      </c>
      <c r="Y124" s="5">
        <v>23570.149999999998</v>
      </c>
      <c r="Z124" s="5">
        <v>228979.59</v>
      </c>
      <c r="AA124" s="5">
        <v>1</v>
      </c>
      <c r="AB124" s="5">
        <v>228979.59</v>
      </c>
    </row>
    <row r="126" spans="1:88" ht="12.75">
      <c r="A126" s="1">
        <v>4</v>
      </c>
      <c r="B126" s="1">
        <v>1</v>
      </c>
      <c r="C126" s="1"/>
      <c r="D126" s="1">
        <f>ROW(A137)</f>
        <v>137</v>
      </c>
      <c r="E126" s="1"/>
      <c r="F126" s="1" t="s">
        <v>19</v>
      </c>
      <c r="G126" s="1" t="s">
        <v>167</v>
      </c>
      <c r="H126" s="1" t="s">
        <v>3</v>
      </c>
      <c r="I126" s="1">
        <v>0</v>
      </c>
      <c r="J126" s="1"/>
      <c r="K126" s="1">
        <v>0</v>
      </c>
      <c r="L126" s="1"/>
      <c r="M126" s="1" t="s">
        <v>3</v>
      </c>
      <c r="N126" s="1"/>
      <c r="O126" s="1"/>
      <c r="P126" s="1"/>
      <c r="Q126" s="1"/>
      <c r="R126" s="1"/>
      <c r="S126" s="1">
        <v>0</v>
      </c>
      <c r="T126" s="1">
        <v>0</v>
      </c>
      <c r="U126" s="1" t="s">
        <v>3</v>
      </c>
      <c r="V126" s="1">
        <v>0</v>
      </c>
      <c r="W126" s="1"/>
      <c r="X126" s="1"/>
      <c r="Y126" s="1"/>
      <c r="Z126" s="1"/>
      <c r="AA126" s="1"/>
      <c r="AB126" s="1" t="s">
        <v>3</v>
      </c>
      <c r="AC126" s="1" t="s">
        <v>3</v>
      </c>
      <c r="AD126" s="1" t="s">
        <v>3</v>
      </c>
      <c r="AE126" s="1" t="s">
        <v>3</v>
      </c>
      <c r="AF126" s="1" t="s">
        <v>3</v>
      </c>
      <c r="AG126" s="1" t="s">
        <v>3</v>
      </c>
      <c r="AH126" s="1"/>
      <c r="AI126" s="1"/>
      <c r="AJ126" s="1"/>
      <c r="AK126" s="1"/>
      <c r="AL126" s="1"/>
      <c r="AM126" s="1"/>
      <c r="AN126" s="1"/>
      <c r="AO126" s="1"/>
      <c r="AP126" s="1" t="s">
        <v>3</v>
      </c>
      <c r="AQ126" s="1" t="s">
        <v>3</v>
      </c>
      <c r="AR126" s="1" t="s">
        <v>3</v>
      </c>
      <c r="AS126" s="1"/>
      <c r="AT126" s="1"/>
      <c r="AU126" s="1"/>
      <c r="AV126" s="1"/>
      <c r="AW126" s="1"/>
      <c r="AX126" s="1"/>
      <c r="AY126" s="1"/>
      <c r="AZ126" s="1" t="s">
        <v>3</v>
      </c>
      <c r="BA126" s="1"/>
      <c r="BB126" s="1" t="s">
        <v>3</v>
      </c>
      <c r="BC126" s="1" t="s">
        <v>3</v>
      </c>
      <c r="BD126" s="1" t="s">
        <v>3</v>
      </c>
      <c r="BE126" s="1" t="s">
        <v>3</v>
      </c>
      <c r="BF126" s="1" t="s">
        <v>3</v>
      </c>
      <c r="BG126" s="1" t="s">
        <v>3</v>
      </c>
      <c r="BH126" s="1" t="s">
        <v>3</v>
      </c>
      <c r="BI126" s="1" t="s">
        <v>3</v>
      </c>
      <c r="BJ126" s="1" t="s">
        <v>3</v>
      </c>
      <c r="BK126" s="1" t="s">
        <v>3</v>
      </c>
      <c r="BL126" s="1" t="s">
        <v>3</v>
      </c>
      <c r="BM126" s="1" t="s">
        <v>3</v>
      </c>
      <c r="BN126" s="1" t="s">
        <v>3</v>
      </c>
      <c r="BO126" s="1" t="s">
        <v>3</v>
      </c>
      <c r="BP126" s="1" t="s">
        <v>3</v>
      </c>
      <c r="BQ126" s="1"/>
      <c r="BR126" s="1"/>
      <c r="BS126" s="1"/>
      <c r="BT126" s="1"/>
      <c r="BU126" s="1"/>
      <c r="BV126" s="1"/>
      <c r="BW126" s="1"/>
      <c r="BX126" s="1">
        <v>0</v>
      </c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>
        <v>0</v>
      </c>
    </row>
    <row r="128" spans="1:206" ht="12.75">
      <c r="A128" s="3">
        <v>52</v>
      </c>
      <c r="B128" s="3">
        <f aca="true" t="shared" si="109" ref="B128:G128">B137</f>
        <v>1</v>
      </c>
      <c r="C128" s="3">
        <f t="shared" si="109"/>
        <v>4</v>
      </c>
      <c r="D128" s="3">
        <f t="shared" si="109"/>
        <v>126</v>
      </c>
      <c r="E128" s="3">
        <f t="shared" si="109"/>
        <v>0</v>
      </c>
      <c r="F128" s="3" t="str">
        <f t="shared" si="109"/>
        <v>Новый раздел</v>
      </c>
      <c r="G128" s="3" t="str">
        <f t="shared" si="109"/>
        <v>Разные работы</v>
      </c>
      <c r="H128" s="3"/>
      <c r="I128" s="3"/>
      <c r="J128" s="3"/>
      <c r="K128" s="3"/>
      <c r="L128" s="3"/>
      <c r="M128" s="3"/>
      <c r="N128" s="3"/>
      <c r="O128" s="3">
        <f aca="true" t="shared" si="110" ref="O128:AT128">O137</f>
        <v>128.57</v>
      </c>
      <c r="P128" s="3">
        <f t="shared" si="110"/>
        <v>88.56</v>
      </c>
      <c r="Q128" s="3">
        <f t="shared" si="110"/>
        <v>0</v>
      </c>
      <c r="R128" s="3">
        <f t="shared" si="110"/>
        <v>0</v>
      </c>
      <c r="S128" s="3">
        <f t="shared" si="110"/>
        <v>40.01</v>
      </c>
      <c r="T128" s="3">
        <f t="shared" si="110"/>
        <v>0</v>
      </c>
      <c r="U128" s="3">
        <f t="shared" si="110"/>
        <v>5.562</v>
      </c>
      <c r="V128" s="3">
        <f t="shared" si="110"/>
        <v>0</v>
      </c>
      <c r="W128" s="3">
        <f t="shared" si="110"/>
        <v>0</v>
      </c>
      <c r="X128" s="3">
        <f t="shared" si="110"/>
        <v>36.81</v>
      </c>
      <c r="Y128" s="3">
        <f t="shared" si="110"/>
        <v>17.6</v>
      </c>
      <c r="Z128" s="3">
        <f t="shared" si="110"/>
        <v>0</v>
      </c>
      <c r="AA128" s="3">
        <f t="shared" si="110"/>
        <v>0</v>
      </c>
      <c r="AB128" s="3">
        <f t="shared" si="110"/>
        <v>128.57</v>
      </c>
      <c r="AC128" s="3">
        <f t="shared" si="110"/>
        <v>88.56</v>
      </c>
      <c r="AD128" s="3">
        <f t="shared" si="110"/>
        <v>0</v>
      </c>
      <c r="AE128" s="3">
        <f t="shared" si="110"/>
        <v>0</v>
      </c>
      <c r="AF128" s="3">
        <f t="shared" si="110"/>
        <v>40.01</v>
      </c>
      <c r="AG128" s="3">
        <f t="shared" si="110"/>
        <v>0</v>
      </c>
      <c r="AH128" s="3">
        <f t="shared" si="110"/>
        <v>5.562</v>
      </c>
      <c r="AI128" s="3">
        <f t="shared" si="110"/>
        <v>0</v>
      </c>
      <c r="AJ128" s="3">
        <f t="shared" si="110"/>
        <v>0</v>
      </c>
      <c r="AK128" s="3">
        <f t="shared" si="110"/>
        <v>36.81</v>
      </c>
      <c r="AL128" s="3">
        <f t="shared" si="110"/>
        <v>17.6</v>
      </c>
      <c r="AM128" s="3">
        <f t="shared" si="110"/>
        <v>0</v>
      </c>
      <c r="AN128" s="3">
        <f t="shared" si="110"/>
        <v>0</v>
      </c>
      <c r="AO128" s="3">
        <f t="shared" si="110"/>
        <v>0</v>
      </c>
      <c r="AP128" s="3">
        <f t="shared" si="110"/>
        <v>0</v>
      </c>
      <c r="AQ128" s="3">
        <f t="shared" si="110"/>
        <v>0</v>
      </c>
      <c r="AR128" s="3">
        <f t="shared" si="110"/>
        <v>928.13</v>
      </c>
      <c r="AS128" s="3">
        <f t="shared" si="110"/>
        <v>928.13</v>
      </c>
      <c r="AT128" s="3">
        <f t="shared" si="110"/>
        <v>0</v>
      </c>
      <c r="AU128" s="3">
        <f aca="true" t="shared" si="111" ref="AU128:BZ128">AU137</f>
        <v>0</v>
      </c>
      <c r="AV128" s="3">
        <f t="shared" si="111"/>
        <v>88.56</v>
      </c>
      <c r="AW128" s="3">
        <f t="shared" si="111"/>
        <v>88.56</v>
      </c>
      <c r="AX128" s="3">
        <f t="shared" si="111"/>
        <v>0</v>
      </c>
      <c r="AY128" s="3">
        <f t="shared" si="111"/>
        <v>88.56</v>
      </c>
      <c r="AZ128" s="3">
        <f t="shared" si="111"/>
        <v>0</v>
      </c>
      <c r="BA128" s="3">
        <f t="shared" si="111"/>
        <v>0</v>
      </c>
      <c r="BB128" s="3">
        <f t="shared" si="111"/>
        <v>0</v>
      </c>
      <c r="BC128" s="3">
        <f t="shared" si="111"/>
        <v>0</v>
      </c>
      <c r="BD128" s="3">
        <f t="shared" si="111"/>
        <v>745.15</v>
      </c>
      <c r="BE128" s="3">
        <f t="shared" si="111"/>
        <v>0</v>
      </c>
      <c r="BF128" s="3">
        <f t="shared" si="111"/>
        <v>0</v>
      </c>
      <c r="BG128" s="3">
        <f t="shared" si="111"/>
        <v>0</v>
      </c>
      <c r="BH128" s="3">
        <f t="shared" si="111"/>
        <v>0</v>
      </c>
      <c r="BI128" s="3">
        <f t="shared" si="111"/>
        <v>0</v>
      </c>
      <c r="BJ128" s="3">
        <f t="shared" si="111"/>
        <v>0</v>
      </c>
      <c r="BK128" s="3">
        <f t="shared" si="111"/>
        <v>0</v>
      </c>
      <c r="BL128" s="3">
        <f t="shared" si="111"/>
        <v>0</v>
      </c>
      <c r="BM128" s="3">
        <f t="shared" si="111"/>
        <v>0</v>
      </c>
      <c r="BN128" s="3">
        <f t="shared" si="111"/>
        <v>0</v>
      </c>
      <c r="BO128" s="3">
        <f t="shared" si="111"/>
        <v>0</v>
      </c>
      <c r="BP128" s="3">
        <f t="shared" si="111"/>
        <v>0</v>
      </c>
      <c r="BQ128" s="3">
        <f t="shared" si="111"/>
        <v>0</v>
      </c>
      <c r="BR128" s="3">
        <f t="shared" si="111"/>
        <v>0</v>
      </c>
      <c r="BS128" s="3">
        <f t="shared" si="111"/>
        <v>0</v>
      </c>
      <c r="BT128" s="3">
        <f t="shared" si="111"/>
        <v>0</v>
      </c>
      <c r="BU128" s="3">
        <f t="shared" si="111"/>
        <v>0</v>
      </c>
      <c r="BV128" s="3">
        <f t="shared" si="111"/>
        <v>0</v>
      </c>
      <c r="BW128" s="3">
        <f t="shared" si="111"/>
        <v>0</v>
      </c>
      <c r="BX128" s="3">
        <f t="shared" si="111"/>
        <v>0</v>
      </c>
      <c r="BY128" s="3">
        <f t="shared" si="111"/>
        <v>0</v>
      </c>
      <c r="BZ128" s="3">
        <f t="shared" si="111"/>
        <v>0</v>
      </c>
      <c r="CA128" s="3">
        <f aca="true" t="shared" si="112" ref="CA128:DF128">CA137</f>
        <v>928.13</v>
      </c>
      <c r="CB128" s="3">
        <f t="shared" si="112"/>
        <v>928.13</v>
      </c>
      <c r="CC128" s="3">
        <f t="shared" si="112"/>
        <v>0</v>
      </c>
      <c r="CD128" s="3">
        <f t="shared" si="112"/>
        <v>0</v>
      </c>
      <c r="CE128" s="3">
        <f t="shared" si="112"/>
        <v>88.56</v>
      </c>
      <c r="CF128" s="3">
        <f t="shared" si="112"/>
        <v>88.56</v>
      </c>
      <c r="CG128" s="3">
        <f t="shared" si="112"/>
        <v>0</v>
      </c>
      <c r="CH128" s="3">
        <f t="shared" si="112"/>
        <v>88.56</v>
      </c>
      <c r="CI128" s="3">
        <f t="shared" si="112"/>
        <v>0</v>
      </c>
      <c r="CJ128" s="3">
        <f t="shared" si="112"/>
        <v>0</v>
      </c>
      <c r="CK128" s="3">
        <f t="shared" si="112"/>
        <v>0</v>
      </c>
      <c r="CL128" s="3">
        <f t="shared" si="112"/>
        <v>0</v>
      </c>
      <c r="CM128" s="3">
        <f t="shared" si="112"/>
        <v>745.15</v>
      </c>
      <c r="CN128" s="3">
        <f t="shared" si="112"/>
        <v>0</v>
      </c>
      <c r="CO128" s="3">
        <f t="shared" si="112"/>
        <v>0</v>
      </c>
      <c r="CP128" s="3">
        <f t="shared" si="112"/>
        <v>0</v>
      </c>
      <c r="CQ128" s="3">
        <f t="shared" si="112"/>
        <v>0</v>
      </c>
      <c r="CR128" s="3">
        <f t="shared" si="112"/>
        <v>0</v>
      </c>
      <c r="CS128" s="3">
        <f t="shared" si="112"/>
        <v>0</v>
      </c>
      <c r="CT128" s="3">
        <f t="shared" si="112"/>
        <v>0</v>
      </c>
      <c r="CU128" s="3">
        <f t="shared" si="112"/>
        <v>0</v>
      </c>
      <c r="CV128" s="3">
        <f t="shared" si="112"/>
        <v>0</v>
      </c>
      <c r="CW128" s="3">
        <f t="shared" si="112"/>
        <v>0</v>
      </c>
      <c r="CX128" s="3">
        <f t="shared" si="112"/>
        <v>0</v>
      </c>
      <c r="CY128" s="3">
        <f t="shared" si="112"/>
        <v>0</v>
      </c>
      <c r="CZ128" s="3">
        <f t="shared" si="112"/>
        <v>0</v>
      </c>
      <c r="DA128" s="3">
        <f t="shared" si="112"/>
        <v>0</v>
      </c>
      <c r="DB128" s="3">
        <f t="shared" si="112"/>
        <v>0</v>
      </c>
      <c r="DC128" s="3">
        <f t="shared" si="112"/>
        <v>0</v>
      </c>
      <c r="DD128" s="3">
        <f t="shared" si="112"/>
        <v>0</v>
      </c>
      <c r="DE128" s="3">
        <f t="shared" si="112"/>
        <v>0</v>
      </c>
      <c r="DF128" s="3">
        <f t="shared" si="112"/>
        <v>0</v>
      </c>
      <c r="DG128" s="4">
        <f aca="true" t="shared" si="113" ref="DG128:EL128">DG137</f>
        <v>2089.24</v>
      </c>
      <c r="DH128" s="4">
        <f t="shared" si="113"/>
        <v>595.12</v>
      </c>
      <c r="DI128" s="4">
        <f t="shared" si="113"/>
        <v>0</v>
      </c>
      <c r="DJ128" s="4">
        <f t="shared" si="113"/>
        <v>0</v>
      </c>
      <c r="DK128" s="4">
        <f t="shared" si="113"/>
        <v>1494.12</v>
      </c>
      <c r="DL128" s="4">
        <f t="shared" si="113"/>
        <v>0</v>
      </c>
      <c r="DM128" s="4">
        <f t="shared" si="113"/>
        <v>5.562</v>
      </c>
      <c r="DN128" s="4">
        <f t="shared" si="113"/>
        <v>0</v>
      </c>
      <c r="DO128" s="4">
        <f t="shared" si="113"/>
        <v>0</v>
      </c>
      <c r="DP128" s="4">
        <f t="shared" si="113"/>
        <v>1374.59</v>
      </c>
      <c r="DQ128" s="4">
        <f t="shared" si="113"/>
        <v>657.41</v>
      </c>
      <c r="DR128" s="4">
        <f t="shared" si="113"/>
        <v>0</v>
      </c>
      <c r="DS128" s="4">
        <f t="shared" si="113"/>
        <v>0</v>
      </c>
      <c r="DT128" s="4">
        <f t="shared" si="113"/>
        <v>2089.24</v>
      </c>
      <c r="DU128" s="4">
        <f t="shared" si="113"/>
        <v>595.12</v>
      </c>
      <c r="DV128" s="4">
        <f t="shared" si="113"/>
        <v>0</v>
      </c>
      <c r="DW128" s="4">
        <f t="shared" si="113"/>
        <v>0</v>
      </c>
      <c r="DX128" s="4">
        <f t="shared" si="113"/>
        <v>1494.12</v>
      </c>
      <c r="DY128" s="4">
        <f t="shared" si="113"/>
        <v>0</v>
      </c>
      <c r="DZ128" s="4">
        <f t="shared" si="113"/>
        <v>5.562</v>
      </c>
      <c r="EA128" s="4">
        <f t="shared" si="113"/>
        <v>0</v>
      </c>
      <c r="EB128" s="4">
        <f t="shared" si="113"/>
        <v>0</v>
      </c>
      <c r="EC128" s="4">
        <f t="shared" si="113"/>
        <v>1374.59</v>
      </c>
      <c r="ED128" s="4">
        <f t="shared" si="113"/>
        <v>657.41</v>
      </c>
      <c r="EE128" s="4">
        <f t="shared" si="113"/>
        <v>0</v>
      </c>
      <c r="EF128" s="4">
        <f t="shared" si="113"/>
        <v>0</v>
      </c>
      <c r="EG128" s="4">
        <f t="shared" si="113"/>
        <v>0</v>
      </c>
      <c r="EH128" s="4">
        <f t="shared" si="113"/>
        <v>0</v>
      </c>
      <c r="EI128" s="4">
        <f t="shared" si="113"/>
        <v>0</v>
      </c>
      <c r="EJ128" s="4">
        <f t="shared" si="113"/>
        <v>13986.99</v>
      </c>
      <c r="EK128" s="4">
        <f t="shared" si="113"/>
        <v>13986.99</v>
      </c>
      <c r="EL128" s="4">
        <f t="shared" si="113"/>
        <v>0</v>
      </c>
      <c r="EM128" s="4">
        <f aca="true" t="shared" si="114" ref="EM128:FR128">EM137</f>
        <v>0</v>
      </c>
      <c r="EN128" s="4">
        <f t="shared" si="114"/>
        <v>595.12</v>
      </c>
      <c r="EO128" s="4">
        <f t="shared" si="114"/>
        <v>595.12</v>
      </c>
      <c r="EP128" s="4">
        <f t="shared" si="114"/>
        <v>0</v>
      </c>
      <c r="EQ128" s="4">
        <f t="shared" si="114"/>
        <v>595.12</v>
      </c>
      <c r="ER128" s="4">
        <f t="shared" si="114"/>
        <v>0</v>
      </c>
      <c r="ES128" s="4">
        <f t="shared" si="114"/>
        <v>0</v>
      </c>
      <c r="ET128" s="4">
        <f t="shared" si="114"/>
        <v>0</v>
      </c>
      <c r="EU128" s="4">
        <f t="shared" si="114"/>
        <v>0</v>
      </c>
      <c r="EV128" s="4">
        <f t="shared" si="114"/>
        <v>9865.75</v>
      </c>
      <c r="EW128" s="4">
        <f t="shared" si="114"/>
        <v>0</v>
      </c>
      <c r="EX128" s="4">
        <f t="shared" si="114"/>
        <v>0</v>
      </c>
      <c r="EY128" s="4">
        <f t="shared" si="114"/>
        <v>0</v>
      </c>
      <c r="EZ128" s="4">
        <f t="shared" si="114"/>
        <v>0</v>
      </c>
      <c r="FA128" s="4">
        <f t="shared" si="114"/>
        <v>0</v>
      </c>
      <c r="FB128" s="4">
        <f t="shared" si="114"/>
        <v>0</v>
      </c>
      <c r="FC128" s="4">
        <f t="shared" si="114"/>
        <v>0</v>
      </c>
      <c r="FD128" s="4">
        <f t="shared" si="114"/>
        <v>0</v>
      </c>
      <c r="FE128" s="4">
        <f t="shared" si="114"/>
        <v>0</v>
      </c>
      <c r="FF128" s="4">
        <f t="shared" si="114"/>
        <v>0</v>
      </c>
      <c r="FG128" s="4">
        <f t="shared" si="114"/>
        <v>0</v>
      </c>
      <c r="FH128" s="4">
        <f t="shared" si="114"/>
        <v>0</v>
      </c>
      <c r="FI128" s="4">
        <f t="shared" si="114"/>
        <v>0</v>
      </c>
      <c r="FJ128" s="4">
        <f t="shared" si="114"/>
        <v>0</v>
      </c>
      <c r="FK128" s="4">
        <f t="shared" si="114"/>
        <v>0</v>
      </c>
      <c r="FL128" s="4">
        <f t="shared" si="114"/>
        <v>0</v>
      </c>
      <c r="FM128" s="4">
        <f t="shared" si="114"/>
        <v>0</v>
      </c>
      <c r="FN128" s="4">
        <f t="shared" si="114"/>
        <v>0</v>
      </c>
      <c r="FO128" s="4">
        <f t="shared" si="114"/>
        <v>0</v>
      </c>
      <c r="FP128" s="4">
        <f t="shared" si="114"/>
        <v>0</v>
      </c>
      <c r="FQ128" s="4">
        <f t="shared" si="114"/>
        <v>0</v>
      </c>
      <c r="FR128" s="4">
        <f t="shared" si="114"/>
        <v>0</v>
      </c>
      <c r="FS128" s="4">
        <f aca="true" t="shared" si="115" ref="FS128:GX128">FS137</f>
        <v>13986.99</v>
      </c>
      <c r="FT128" s="4">
        <f t="shared" si="115"/>
        <v>13986.99</v>
      </c>
      <c r="FU128" s="4">
        <f t="shared" si="115"/>
        <v>0</v>
      </c>
      <c r="FV128" s="4">
        <f t="shared" si="115"/>
        <v>0</v>
      </c>
      <c r="FW128" s="4">
        <f t="shared" si="115"/>
        <v>595.12</v>
      </c>
      <c r="FX128" s="4">
        <f t="shared" si="115"/>
        <v>595.12</v>
      </c>
      <c r="FY128" s="4">
        <f t="shared" si="115"/>
        <v>0</v>
      </c>
      <c r="FZ128" s="4">
        <f t="shared" si="115"/>
        <v>595.12</v>
      </c>
      <c r="GA128" s="4">
        <f t="shared" si="115"/>
        <v>0</v>
      </c>
      <c r="GB128" s="4">
        <f t="shared" si="115"/>
        <v>0</v>
      </c>
      <c r="GC128" s="4">
        <f t="shared" si="115"/>
        <v>0</v>
      </c>
      <c r="GD128" s="4">
        <f t="shared" si="115"/>
        <v>0</v>
      </c>
      <c r="GE128" s="4">
        <f t="shared" si="115"/>
        <v>9865.75</v>
      </c>
      <c r="GF128" s="4">
        <f t="shared" si="115"/>
        <v>0</v>
      </c>
      <c r="GG128" s="4">
        <f t="shared" si="115"/>
        <v>0</v>
      </c>
      <c r="GH128" s="4">
        <f t="shared" si="115"/>
        <v>0</v>
      </c>
      <c r="GI128" s="4">
        <f t="shared" si="115"/>
        <v>0</v>
      </c>
      <c r="GJ128" s="4">
        <f t="shared" si="115"/>
        <v>0</v>
      </c>
      <c r="GK128" s="4">
        <f t="shared" si="115"/>
        <v>0</v>
      </c>
      <c r="GL128" s="4">
        <f t="shared" si="115"/>
        <v>0</v>
      </c>
      <c r="GM128" s="4">
        <f t="shared" si="115"/>
        <v>0</v>
      </c>
      <c r="GN128" s="4">
        <f t="shared" si="115"/>
        <v>0</v>
      </c>
      <c r="GO128" s="4">
        <f t="shared" si="115"/>
        <v>0</v>
      </c>
      <c r="GP128" s="4">
        <f t="shared" si="115"/>
        <v>0</v>
      </c>
      <c r="GQ128" s="4">
        <f t="shared" si="115"/>
        <v>0</v>
      </c>
      <c r="GR128" s="4">
        <f t="shared" si="115"/>
        <v>0</v>
      </c>
      <c r="GS128" s="4">
        <f t="shared" si="115"/>
        <v>0</v>
      </c>
      <c r="GT128" s="4">
        <f t="shared" si="115"/>
        <v>0</v>
      </c>
      <c r="GU128" s="4">
        <f t="shared" si="115"/>
        <v>0</v>
      </c>
      <c r="GV128" s="4">
        <f t="shared" si="115"/>
        <v>0</v>
      </c>
      <c r="GW128" s="4">
        <f t="shared" si="115"/>
        <v>0</v>
      </c>
      <c r="GX128" s="4">
        <f t="shared" si="115"/>
        <v>0</v>
      </c>
    </row>
    <row r="130" spans="1:255" ht="12.75">
      <c r="A130" s="2">
        <v>17</v>
      </c>
      <c r="B130" s="2">
        <v>1</v>
      </c>
      <c r="C130" s="2">
        <f>ROW(SmtRes!A106)</f>
        <v>106</v>
      </c>
      <c r="D130" s="2">
        <f>ROW(EtalonRes!A108)</f>
        <v>108</v>
      </c>
      <c r="E130" s="2" t="s">
        <v>168</v>
      </c>
      <c r="F130" s="2" t="s">
        <v>169</v>
      </c>
      <c r="G130" s="2" t="s">
        <v>170</v>
      </c>
      <c r="H130" s="2" t="s">
        <v>129</v>
      </c>
      <c r="I130" s="2">
        <f>ROUND(ROUND(5.4049,2),7)</f>
        <v>5.4</v>
      </c>
      <c r="J130" s="2">
        <v>0</v>
      </c>
      <c r="K130" s="2">
        <f>ROUND(ROUND(5.4049,2),7)</f>
        <v>5.4</v>
      </c>
      <c r="L130" s="2"/>
      <c r="M130" s="2"/>
      <c r="N130" s="2"/>
      <c r="O130" s="2">
        <f>ROUND(CP130,2)</f>
        <v>128.57</v>
      </c>
      <c r="P130" s="2">
        <f>ROUND(CQ130*I130,2)</f>
        <v>88.56</v>
      </c>
      <c r="Q130" s="2">
        <f>ROUND(CR130*I130,2)</f>
        <v>0</v>
      </c>
      <c r="R130" s="2">
        <f>ROUND(CS130*I130,2)</f>
        <v>0</v>
      </c>
      <c r="S130" s="2">
        <f>ROUND(CT130*I130,2)</f>
        <v>40.01</v>
      </c>
      <c r="T130" s="2">
        <f>ROUND(CU130*I130,2)</f>
        <v>0</v>
      </c>
      <c r="U130" s="2">
        <f>CV130*I130</f>
        <v>5.562</v>
      </c>
      <c r="V130" s="2">
        <f>CW130*I130</f>
        <v>0</v>
      </c>
      <c r="W130" s="2">
        <f>ROUND(CX130*I130,2)</f>
        <v>0</v>
      </c>
      <c r="X130" s="2">
        <f>ROUND(CY130,2)</f>
        <v>36.81</v>
      </c>
      <c r="Y130" s="2">
        <f>ROUND(CZ130,2)</f>
        <v>17.6</v>
      </c>
      <c r="Z130" s="2"/>
      <c r="AA130" s="2">
        <v>55655398</v>
      </c>
      <c r="AB130" s="2">
        <f>ROUND((AC130+AD130+AF130),2)</f>
        <v>23.81</v>
      </c>
      <c r="AC130" s="2">
        <f>ROUND((ES130),2)</f>
        <v>16.4</v>
      </c>
      <c r="AD130" s="2">
        <f>ROUND((((ET130)-(EU130))+AE130),2)</f>
        <v>0</v>
      </c>
      <c r="AE130" s="2">
        <f>ROUND((EU130),2)</f>
        <v>0</v>
      </c>
      <c r="AF130" s="2">
        <f>ROUND((EV130),2)</f>
        <v>7.41</v>
      </c>
      <c r="AG130" s="2">
        <f>ROUND((AP130),2)</f>
        <v>0</v>
      </c>
      <c r="AH130" s="2">
        <f>(EW130)</f>
        <v>1.03</v>
      </c>
      <c r="AI130" s="2">
        <f>(EX130)</f>
        <v>0</v>
      </c>
      <c r="AJ130" s="2">
        <f>(AS130)</f>
        <v>0</v>
      </c>
      <c r="AK130" s="2">
        <v>23.81</v>
      </c>
      <c r="AL130" s="2">
        <v>16.4</v>
      </c>
      <c r="AM130" s="2">
        <v>0</v>
      </c>
      <c r="AN130" s="2">
        <v>0</v>
      </c>
      <c r="AO130" s="2">
        <v>7.41</v>
      </c>
      <c r="AP130" s="2">
        <v>0</v>
      </c>
      <c r="AQ130" s="2">
        <v>1.03</v>
      </c>
      <c r="AR130" s="2">
        <v>0</v>
      </c>
      <c r="AS130" s="2">
        <v>0</v>
      </c>
      <c r="AT130" s="2">
        <v>92</v>
      </c>
      <c r="AU130" s="2">
        <v>44</v>
      </c>
      <c r="AV130" s="2">
        <v>1</v>
      </c>
      <c r="AW130" s="2">
        <v>1</v>
      </c>
      <c r="AX130" s="2"/>
      <c r="AY130" s="2"/>
      <c r="AZ130" s="2">
        <v>1</v>
      </c>
      <c r="BA130" s="2">
        <v>1</v>
      </c>
      <c r="BB130" s="2">
        <v>1</v>
      </c>
      <c r="BC130" s="2">
        <v>1</v>
      </c>
      <c r="BD130" s="2" t="s">
        <v>3</v>
      </c>
      <c r="BE130" s="2" t="s">
        <v>3</v>
      </c>
      <c r="BF130" s="2" t="s">
        <v>3</v>
      </c>
      <c r="BG130" s="2" t="s">
        <v>3</v>
      </c>
      <c r="BH130" s="2">
        <v>0</v>
      </c>
      <c r="BI130" s="2">
        <v>1</v>
      </c>
      <c r="BJ130" s="2" t="s">
        <v>171</v>
      </c>
      <c r="BK130" s="2"/>
      <c r="BL130" s="2"/>
      <c r="BM130" s="2">
        <v>69001</v>
      </c>
      <c r="BN130" s="2">
        <v>0</v>
      </c>
      <c r="BO130" s="2" t="s">
        <v>3</v>
      </c>
      <c r="BP130" s="2">
        <v>0</v>
      </c>
      <c r="BQ130" s="2">
        <v>6</v>
      </c>
      <c r="BR130" s="2">
        <v>0</v>
      </c>
      <c r="BS130" s="2">
        <v>1</v>
      </c>
      <c r="BT130" s="2">
        <v>1</v>
      </c>
      <c r="BU130" s="2">
        <v>1</v>
      </c>
      <c r="BV130" s="2">
        <v>1</v>
      </c>
      <c r="BW130" s="2">
        <v>1</v>
      </c>
      <c r="BX130" s="2">
        <v>1</v>
      </c>
      <c r="BY130" s="2" t="s">
        <v>3</v>
      </c>
      <c r="BZ130" s="2">
        <v>92</v>
      </c>
      <c r="CA130" s="2">
        <v>44</v>
      </c>
      <c r="CB130" s="2" t="s">
        <v>3</v>
      </c>
      <c r="CC130" s="2"/>
      <c r="CD130" s="2"/>
      <c r="CE130" s="2">
        <v>0</v>
      </c>
      <c r="CF130" s="2">
        <v>0</v>
      </c>
      <c r="CG130" s="2">
        <v>0</v>
      </c>
      <c r="CH130" s="2"/>
      <c r="CI130" s="2"/>
      <c r="CJ130" s="2"/>
      <c r="CK130" s="2"/>
      <c r="CL130" s="2"/>
      <c r="CM130" s="2">
        <v>0</v>
      </c>
      <c r="CN130" s="2" t="s">
        <v>3</v>
      </c>
      <c r="CO130" s="2">
        <v>0</v>
      </c>
      <c r="CP130" s="2">
        <f>(P130+Q130+S130)</f>
        <v>128.57</v>
      </c>
      <c r="CQ130" s="2">
        <f>AC130*BC130</f>
        <v>16.4</v>
      </c>
      <c r="CR130" s="2">
        <f>(((ET130)*BB130-(EU130)*BS130)+AE130*BS130)</f>
        <v>0</v>
      </c>
      <c r="CS130" s="2">
        <f>AE130*BS130</f>
        <v>0</v>
      </c>
      <c r="CT130" s="2">
        <f>AF130*BA130</f>
        <v>7.41</v>
      </c>
      <c r="CU130" s="2">
        <f aca="true" t="shared" si="116" ref="CU130:CX131">AG130</f>
        <v>0</v>
      </c>
      <c r="CV130" s="2">
        <f t="shared" si="116"/>
        <v>1.03</v>
      </c>
      <c r="CW130" s="2">
        <f t="shared" si="116"/>
        <v>0</v>
      </c>
      <c r="CX130" s="2">
        <f t="shared" si="116"/>
        <v>0</v>
      </c>
      <c r="CY130" s="2">
        <f>(((S130+R130)*AT130)/100)</f>
        <v>36.8092</v>
      </c>
      <c r="CZ130" s="2">
        <f>(((S130+R130)*AU130)/100)</f>
        <v>17.6044</v>
      </c>
      <c r="DA130" s="2"/>
      <c r="DB130" s="2"/>
      <c r="DC130" s="2" t="s">
        <v>3</v>
      </c>
      <c r="DD130" s="2" t="s">
        <v>3</v>
      </c>
      <c r="DE130" s="2" t="s">
        <v>3</v>
      </c>
      <c r="DF130" s="2" t="s">
        <v>3</v>
      </c>
      <c r="DG130" s="2" t="s">
        <v>3</v>
      </c>
      <c r="DH130" s="2" t="s">
        <v>3</v>
      </c>
      <c r="DI130" s="2" t="s">
        <v>3</v>
      </c>
      <c r="DJ130" s="2" t="s">
        <v>3</v>
      </c>
      <c r="DK130" s="2" t="s">
        <v>3</v>
      </c>
      <c r="DL130" s="2" t="s">
        <v>3</v>
      </c>
      <c r="DM130" s="2" t="s">
        <v>3</v>
      </c>
      <c r="DN130" s="2">
        <v>0</v>
      </c>
      <c r="DO130" s="2">
        <v>0</v>
      </c>
      <c r="DP130" s="2">
        <v>1</v>
      </c>
      <c r="DQ130" s="2">
        <v>1</v>
      </c>
      <c r="DR130" s="2"/>
      <c r="DS130" s="2"/>
      <c r="DT130" s="2"/>
      <c r="DU130" s="2">
        <v>1009</v>
      </c>
      <c r="DV130" s="2" t="s">
        <v>129</v>
      </c>
      <c r="DW130" s="2" t="s">
        <v>129</v>
      </c>
      <c r="DX130" s="2">
        <v>1000</v>
      </c>
      <c r="DY130" s="2"/>
      <c r="DZ130" s="2" t="s">
        <v>3</v>
      </c>
      <c r="EA130" s="2" t="s">
        <v>3</v>
      </c>
      <c r="EB130" s="2" t="s">
        <v>3</v>
      </c>
      <c r="EC130" s="2" t="s">
        <v>3</v>
      </c>
      <c r="ED130" s="2"/>
      <c r="EE130" s="2">
        <v>55471848</v>
      </c>
      <c r="EF130" s="2">
        <v>6</v>
      </c>
      <c r="EG130" s="2" t="s">
        <v>172</v>
      </c>
      <c r="EH130" s="2">
        <v>103</v>
      </c>
      <c r="EI130" s="2" t="s">
        <v>173</v>
      </c>
      <c r="EJ130" s="2">
        <v>1</v>
      </c>
      <c r="EK130" s="2">
        <v>69001</v>
      </c>
      <c r="EL130" s="2" t="s">
        <v>173</v>
      </c>
      <c r="EM130" s="2" t="s">
        <v>174</v>
      </c>
      <c r="EN130" s="2"/>
      <c r="EO130" s="2" t="s">
        <v>3</v>
      </c>
      <c r="EP130" s="2"/>
      <c r="EQ130" s="2">
        <v>0</v>
      </c>
      <c r="ER130" s="2">
        <v>23.81</v>
      </c>
      <c r="ES130" s="2">
        <v>16.4</v>
      </c>
      <c r="ET130" s="2">
        <v>0</v>
      </c>
      <c r="EU130" s="2">
        <v>0</v>
      </c>
      <c r="EV130" s="2">
        <v>7.41</v>
      </c>
      <c r="EW130" s="2">
        <v>1.03</v>
      </c>
      <c r="EX130" s="2">
        <v>0</v>
      </c>
      <c r="EY130" s="2">
        <v>0</v>
      </c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>
        <v>0</v>
      </c>
      <c r="FR130" s="2">
        <f aca="true" t="shared" si="117" ref="FR130:FR135">ROUND(IF(AND(BH130=3,BI130=3),P130,0),2)</f>
        <v>0</v>
      </c>
      <c r="FS130" s="2">
        <v>0</v>
      </c>
      <c r="FT130" s="2"/>
      <c r="FU130" s="2"/>
      <c r="FV130" s="2"/>
      <c r="FW130" s="2"/>
      <c r="FX130" s="2">
        <v>92</v>
      </c>
      <c r="FY130" s="2">
        <v>44</v>
      </c>
      <c r="FZ130" s="2"/>
      <c r="GA130" s="2" t="s">
        <v>3</v>
      </c>
      <c r="GB130" s="2"/>
      <c r="GC130" s="2"/>
      <c r="GD130" s="2">
        <v>1</v>
      </c>
      <c r="GE130" s="2"/>
      <c r="GF130" s="2">
        <v>-1160313074</v>
      </c>
      <c r="GG130" s="2">
        <v>2</v>
      </c>
      <c r="GH130" s="2">
        <v>1</v>
      </c>
      <c r="GI130" s="2">
        <v>-2</v>
      </c>
      <c r="GJ130" s="2">
        <v>0</v>
      </c>
      <c r="GK130" s="2">
        <v>0</v>
      </c>
      <c r="GL130" s="2">
        <f aca="true" t="shared" si="118" ref="GL130:GL135">ROUND(IF(AND(BH130=3,BI130=3,FS130&lt;&gt;0),P130,0),2)</f>
        <v>0</v>
      </c>
      <c r="GM130" s="2">
        <f>ROUND(O130+X130+Y130,2)+GX130</f>
        <v>182.98</v>
      </c>
      <c r="GN130" s="2">
        <f>IF(OR(BI130=0,BI130=1),ROUND(O130+X130+Y130,2),0)</f>
        <v>182.98</v>
      </c>
      <c r="GO130" s="2">
        <f>IF(BI130=2,ROUND(O130+X130+Y130,2),0)</f>
        <v>0</v>
      </c>
      <c r="GP130" s="2">
        <f>IF(BI130=4,ROUND(O130+X130+Y130,2)+GX130,0)</f>
        <v>0</v>
      </c>
      <c r="GQ130" s="2"/>
      <c r="GR130" s="2">
        <v>0</v>
      </c>
      <c r="GS130" s="2">
        <v>0</v>
      </c>
      <c r="GT130" s="2">
        <v>0</v>
      </c>
      <c r="GU130" s="2" t="s">
        <v>3</v>
      </c>
      <c r="GV130" s="2">
        <f>ROUND((GT130),2)</f>
        <v>0</v>
      </c>
      <c r="GW130" s="2">
        <v>1</v>
      </c>
      <c r="GX130" s="2">
        <f>ROUND(HC130*I130,2)</f>
        <v>0</v>
      </c>
      <c r="GY130" s="2"/>
      <c r="GZ130" s="2"/>
      <c r="HA130" s="2">
        <v>0</v>
      </c>
      <c r="HB130" s="2">
        <v>0</v>
      </c>
      <c r="HC130" s="2">
        <f>GV130*GW130</f>
        <v>0</v>
      </c>
      <c r="HD130" s="2"/>
      <c r="HE130" s="2" t="s">
        <v>3</v>
      </c>
      <c r="HF130" s="2" t="s">
        <v>3</v>
      </c>
      <c r="HG130" s="2"/>
      <c r="HH130" s="2"/>
      <c r="HI130" s="2"/>
      <c r="HJ130" s="2"/>
      <c r="HK130" s="2"/>
      <c r="HL130" s="2"/>
      <c r="HM130" s="2" t="s">
        <v>3</v>
      </c>
      <c r="HN130" s="2" t="s">
        <v>175</v>
      </c>
      <c r="HO130" s="2" t="s">
        <v>176</v>
      </c>
      <c r="HP130" s="2" t="s">
        <v>173</v>
      </c>
      <c r="HQ130" s="2" t="s">
        <v>173</v>
      </c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>
        <v>0</v>
      </c>
      <c r="IL130" s="2"/>
      <c r="IM130" s="2"/>
      <c r="IN130" s="2"/>
      <c r="IO130" s="2"/>
      <c r="IP130" s="2"/>
      <c r="IQ130" s="2"/>
      <c r="IR130" s="2"/>
      <c r="IS130" s="2"/>
      <c r="IT130" s="2"/>
      <c r="IU130" s="2"/>
    </row>
    <row r="131" spans="1:245" ht="12.75">
      <c r="A131">
        <v>17</v>
      </c>
      <c r="B131">
        <v>1</v>
      </c>
      <c r="C131">
        <f>ROW(SmtRes!A108)</f>
        <v>108</v>
      </c>
      <c r="D131">
        <f>ROW(EtalonRes!A110)</f>
        <v>110</v>
      </c>
      <c r="E131" t="s">
        <v>168</v>
      </c>
      <c r="F131" t="s">
        <v>169</v>
      </c>
      <c r="G131" t="s">
        <v>170</v>
      </c>
      <c r="H131" t="s">
        <v>129</v>
      </c>
      <c r="I131">
        <f>ROUND(ROUND(5.4049,2),7)</f>
        <v>5.4</v>
      </c>
      <c r="J131">
        <v>0</v>
      </c>
      <c r="K131">
        <f>ROUND(ROUND(5.4049,2),7)</f>
        <v>5.4</v>
      </c>
      <c r="O131">
        <f>ROUND(CP131,2)</f>
        <v>2089.24</v>
      </c>
      <c r="P131">
        <f>ROUND(CQ131*I131,2)</f>
        <v>595.12</v>
      </c>
      <c r="Q131">
        <f>ROUND(CR131*I131,2)</f>
        <v>0</v>
      </c>
      <c r="R131">
        <f>ROUND(CS131*I131,2)</f>
        <v>0</v>
      </c>
      <c r="S131">
        <f>ROUND(CT131*I131,2)</f>
        <v>1494.12</v>
      </c>
      <c r="T131">
        <f>ROUND(CU131*I131,2)</f>
        <v>0</v>
      </c>
      <c r="U131">
        <f>CV131*I131</f>
        <v>5.562</v>
      </c>
      <c r="V131">
        <f>CW131*I131</f>
        <v>0</v>
      </c>
      <c r="W131">
        <f>ROUND(CX131*I131,2)</f>
        <v>0</v>
      </c>
      <c r="X131">
        <f>ROUND(CY131,2)</f>
        <v>1374.59</v>
      </c>
      <c r="Y131">
        <f>ROUND(CZ131,2)</f>
        <v>657.41</v>
      </c>
      <c r="AA131">
        <v>55655399</v>
      </c>
      <c r="AB131">
        <f>ROUND((AC131+AD131+AF131),2)</f>
        <v>23.81</v>
      </c>
      <c r="AC131">
        <f>ROUND((ES131),2)</f>
        <v>16.4</v>
      </c>
      <c r="AD131">
        <f>ROUND((((ET131)-(EU131))+AE131),2)</f>
        <v>0</v>
      </c>
      <c r="AE131">
        <f>ROUND((EU131),2)</f>
        <v>0</v>
      </c>
      <c r="AF131">
        <f>ROUND((EV131),2)</f>
        <v>7.41</v>
      </c>
      <c r="AG131">
        <f>ROUND((AP131),2)</f>
        <v>0</v>
      </c>
      <c r="AH131">
        <f>(EW131)</f>
        <v>1.03</v>
      </c>
      <c r="AI131">
        <f>(EX131)</f>
        <v>0</v>
      </c>
      <c r="AJ131">
        <f>(AS131)</f>
        <v>0</v>
      </c>
      <c r="AK131">
        <v>23.81</v>
      </c>
      <c r="AL131">
        <v>16.4</v>
      </c>
      <c r="AM131">
        <v>0</v>
      </c>
      <c r="AN131">
        <v>0</v>
      </c>
      <c r="AO131">
        <v>7.41</v>
      </c>
      <c r="AP131">
        <v>0</v>
      </c>
      <c r="AQ131">
        <v>1.03</v>
      </c>
      <c r="AR131">
        <v>0</v>
      </c>
      <c r="AS131">
        <v>0</v>
      </c>
      <c r="AT131">
        <v>92</v>
      </c>
      <c r="AU131">
        <v>44</v>
      </c>
      <c r="AV131">
        <v>1</v>
      </c>
      <c r="AW131">
        <v>1</v>
      </c>
      <c r="AZ131">
        <v>1</v>
      </c>
      <c r="BA131">
        <v>37.34</v>
      </c>
      <c r="BB131">
        <v>13.24</v>
      </c>
      <c r="BC131">
        <v>6.72</v>
      </c>
      <c r="BH131">
        <v>0</v>
      </c>
      <c r="BI131">
        <v>1</v>
      </c>
      <c r="BJ131" t="s">
        <v>171</v>
      </c>
      <c r="BM131">
        <v>69001</v>
      </c>
      <c r="BN131">
        <v>0</v>
      </c>
      <c r="BO131" t="s">
        <v>34</v>
      </c>
      <c r="BP131">
        <v>1</v>
      </c>
      <c r="BQ131">
        <v>6</v>
      </c>
      <c r="BR131">
        <v>0</v>
      </c>
      <c r="BS131">
        <v>37.34</v>
      </c>
      <c r="BT131">
        <v>1</v>
      </c>
      <c r="BU131">
        <v>1</v>
      </c>
      <c r="BV131">
        <v>1</v>
      </c>
      <c r="BW131">
        <v>1</v>
      </c>
      <c r="BX131">
        <v>1</v>
      </c>
      <c r="BZ131">
        <v>92</v>
      </c>
      <c r="CA131">
        <v>44</v>
      </c>
      <c r="CE131">
        <v>0</v>
      </c>
      <c r="CF131">
        <v>0</v>
      </c>
      <c r="CG131">
        <v>0</v>
      </c>
      <c r="CM131">
        <v>0</v>
      </c>
      <c r="CO131">
        <v>0</v>
      </c>
      <c r="CP131">
        <f>(P131+Q131+S131)</f>
        <v>2089.24</v>
      </c>
      <c r="CQ131">
        <f>AC131*BC131</f>
        <v>110.20799999999998</v>
      </c>
      <c r="CR131">
        <f>(((ET131)*BB131-(EU131)*BS131)+AE131*BS131)</f>
        <v>0</v>
      </c>
      <c r="CS131">
        <f>AE131*BS131</f>
        <v>0</v>
      </c>
      <c r="CT131">
        <f>AF131*BA131</f>
        <v>276.68940000000003</v>
      </c>
      <c r="CU131">
        <f t="shared" si="116"/>
        <v>0</v>
      </c>
      <c r="CV131">
        <f t="shared" si="116"/>
        <v>1.03</v>
      </c>
      <c r="CW131">
        <f t="shared" si="116"/>
        <v>0</v>
      </c>
      <c r="CX131">
        <f t="shared" si="116"/>
        <v>0</v>
      </c>
      <c r="CY131">
        <f>(((S131+R131)*AT131)/100)</f>
        <v>1374.5903999999998</v>
      </c>
      <c r="CZ131">
        <f>(((S131+R131)*AU131)/100)</f>
        <v>657.4128</v>
      </c>
      <c r="DN131">
        <v>0</v>
      </c>
      <c r="DO131">
        <v>0</v>
      </c>
      <c r="DP131">
        <v>1</v>
      </c>
      <c r="DQ131">
        <v>1</v>
      </c>
      <c r="DU131">
        <v>1009</v>
      </c>
      <c r="DV131" t="s">
        <v>129</v>
      </c>
      <c r="DW131" t="s">
        <v>129</v>
      </c>
      <c r="DX131">
        <v>1000</v>
      </c>
      <c r="EE131">
        <v>55471848</v>
      </c>
      <c r="EF131">
        <v>6</v>
      </c>
      <c r="EG131" t="s">
        <v>172</v>
      </c>
      <c r="EH131">
        <v>103</v>
      </c>
      <c r="EI131" t="s">
        <v>173</v>
      </c>
      <c r="EJ131">
        <v>1</v>
      </c>
      <c r="EK131">
        <v>69001</v>
      </c>
      <c r="EL131" t="s">
        <v>173</v>
      </c>
      <c r="EM131" t="s">
        <v>174</v>
      </c>
      <c r="EQ131">
        <v>0</v>
      </c>
      <c r="ER131">
        <v>23.81</v>
      </c>
      <c r="ES131">
        <v>16.4</v>
      </c>
      <c r="ET131">
        <v>0</v>
      </c>
      <c r="EU131">
        <v>0</v>
      </c>
      <c r="EV131">
        <v>7.41</v>
      </c>
      <c r="EW131">
        <v>1.03</v>
      </c>
      <c r="EX131">
        <v>0</v>
      </c>
      <c r="EY131">
        <v>0</v>
      </c>
      <c r="FQ131">
        <v>0</v>
      </c>
      <c r="FR131">
        <f t="shared" si="117"/>
        <v>0</v>
      </c>
      <c r="FS131">
        <v>0</v>
      </c>
      <c r="FX131">
        <v>92</v>
      </c>
      <c r="FY131">
        <v>44</v>
      </c>
      <c r="GD131">
        <v>1</v>
      </c>
      <c r="GF131">
        <v>-1160313074</v>
      </c>
      <c r="GG131">
        <v>2</v>
      </c>
      <c r="GH131">
        <v>1</v>
      </c>
      <c r="GI131">
        <v>4</v>
      </c>
      <c r="GJ131">
        <v>0</v>
      </c>
      <c r="GK131">
        <v>0</v>
      </c>
      <c r="GL131">
        <f t="shared" si="118"/>
        <v>0</v>
      </c>
      <c r="GM131">
        <f>ROUND(O131+X131+Y131,2)+GX131</f>
        <v>4121.24</v>
      </c>
      <c r="GN131">
        <f>IF(OR(BI131=0,BI131=1),ROUND(O131+X131+Y131,2),0)</f>
        <v>4121.24</v>
      </c>
      <c r="GO131">
        <f>IF(BI131=2,ROUND(O131+X131+Y131,2),0)</f>
        <v>0</v>
      </c>
      <c r="GP131">
        <f>IF(BI131=4,ROUND(O131+X131+Y131,2)+GX131,0)</f>
        <v>0</v>
      </c>
      <c r="GR131">
        <v>0</v>
      </c>
      <c r="GS131">
        <v>0</v>
      </c>
      <c r="GT131">
        <v>0</v>
      </c>
      <c r="GV131">
        <f>ROUND((GT131),2)</f>
        <v>0</v>
      </c>
      <c r="GW131">
        <v>1</v>
      </c>
      <c r="GX131">
        <f>ROUND(HC131*I131,2)</f>
        <v>0</v>
      </c>
      <c r="HA131">
        <v>0</v>
      </c>
      <c r="HB131">
        <v>0</v>
      </c>
      <c r="HC131">
        <f>GV131*GW131</f>
        <v>0</v>
      </c>
      <c r="HN131" t="s">
        <v>175</v>
      </c>
      <c r="HO131" t="s">
        <v>176</v>
      </c>
      <c r="HP131" t="s">
        <v>173</v>
      </c>
      <c r="HQ131" t="s">
        <v>173</v>
      </c>
      <c r="IK131">
        <v>0</v>
      </c>
    </row>
    <row r="132" spans="1:255" ht="12.75">
      <c r="A132" s="2">
        <v>17</v>
      </c>
      <c r="B132" s="2">
        <v>1</v>
      </c>
      <c r="C132" s="2"/>
      <c r="D132" s="2"/>
      <c r="E132" s="2" t="s">
        <v>177</v>
      </c>
      <c r="F132" s="2" t="s">
        <v>178</v>
      </c>
      <c r="G132" s="2" t="s">
        <v>179</v>
      </c>
      <c r="H132" s="2" t="s">
        <v>180</v>
      </c>
      <c r="I132" s="2">
        <f>ROUND(ROUND(11.18,2),7)</f>
        <v>11.18</v>
      </c>
      <c r="J132" s="2">
        <v>0</v>
      </c>
      <c r="K132" s="2">
        <f>ROUND(ROUND(11.18,2),7)</f>
        <v>11.18</v>
      </c>
      <c r="L132" s="2"/>
      <c r="M132" s="2"/>
      <c r="N132" s="2"/>
      <c r="O132" s="2">
        <f>0</f>
        <v>0</v>
      </c>
      <c r="P132" s="2">
        <f>0</f>
        <v>0</v>
      </c>
      <c r="Q132" s="2">
        <f>0</f>
        <v>0</v>
      </c>
      <c r="R132" s="2">
        <f>0</f>
        <v>0</v>
      </c>
      <c r="S132" s="2">
        <f>0</f>
        <v>0</v>
      </c>
      <c r="T132" s="2">
        <f>0</f>
        <v>0</v>
      </c>
      <c r="U132" s="2">
        <f>0</f>
        <v>0</v>
      </c>
      <c r="V132" s="2">
        <f>0</f>
        <v>0</v>
      </c>
      <c r="W132" s="2">
        <f>0</f>
        <v>0</v>
      </c>
      <c r="X132" s="2">
        <f>0</f>
        <v>0</v>
      </c>
      <c r="Y132" s="2">
        <f>0</f>
        <v>0</v>
      </c>
      <c r="Z132" s="2"/>
      <c r="AA132" s="2">
        <v>55655398</v>
      </c>
      <c r="AB132" s="2">
        <f>ROUND((AK132),2)</f>
        <v>42.98</v>
      </c>
      <c r="AC132" s="2">
        <f>0</f>
        <v>0</v>
      </c>
      <c r="AD132" s="2">
        <f>0</f>
        <v>0</v>
      </c>
      <c r="AE132" s="2">
        <f>0</f>
        <v>0</v>
      </c>
      <c r="AF132" s="2">
        <f>0</f>
        <v>0</v>
      </c>
      <c r="AG132" s="2">
        <f>0</f>
        <v>0</v>
      </c>
      <c r="AH132" s="2">
        <f>0</f>
        <v>0</v>
      </c>
      <c r="AI132" s="2">
        <f>0</f>
        <v>0</v>
      </c>
      <c r="AJ132" s="2">
        <f>0</f>
        <v>0</v>
      </c>
      <c r="AK132" s="2">
        <v>42.98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1</v>
      </c>
      <c r="AW132" s="2">
        <v>1</v>
      </c>
      <c r="AX132" s="2"/>
      <c r="AY132" s="2"/>
      <c r="AZ132" s="2">
        <v>1</v>
      </c>
      <c r="BA132" s="2">
        <v>1</v>
      </c>
      <c r="BB132" s="2">
        <v>1</v>
      </c>
      <c r="BC132" s="2">
        <v>1</v>
      </c>
      <c r="BD132" s="2" t="s">
        <v>3</v>
      </c>
      <c r="BE132" s="2" t="s">
        <v>3</v>
      </c>
      <c r="BF132" s="2" t="s">
        <v>3</v>
      </c>
      <c r="BG132" s="2" t="s">
        <v>3</v>
      </c>
      <c r="BH132" s="2">
        <v>0</v>
      </c>
      <c r="BI132" s="2">
        <v>1</v>
      </c>
      <c r="BJ132" s="2" t="s">
        <v>181</v>
      </c>
      <c r="BK132" s="2"/>
      <c r="BL132" s="2"/>
      <c r="BM132" s="2">
        <v>700004</v>
      </c>
      <c r="BN132" s="2">
        <v>0</v>
      </c>
      <c r="BO132" s="2" t="s">
        <v>3</v>
      </c>
      <c r="BP132" s="2">
        <v>0</v>
      </c>
      <c r="BQ132" s="2">
        <v>19</v>
      </c>
      <c r="BR132" s="2">
        <v>0</v>
      </c>
      <c r="BS132" s="2">
        <v>1</v>
      </c>
      <c r="BT132" s="2">
        <v>1</v>
      </c>
      <c r="BU132" s="2">
        <v>1</v>
      </c>
      <c r="BV132" s="2">
        <v>1</v>
      </c>
      <c r="BW132" s="2">
        <v>1</v>
      </c>
      <c r="BX132" s="2">
        <v>1</v>
      </c>
      <c r="BY132" s="2" t="s">
        <v>3</v>
      </c>
      <c r="BZ132" s="2">
        <v>0</v>
      </c>
      <c r="CA132" s="2">
        <v>0</v>
      </c>
      <c r="CB132" s="2" t="s">
        <v>3</v>
      </c>
      <c r="CC132" s="2"/>
      <c r="CD132" s="2"/>
      <c r="CE132" s="2">
        <v>0</v>
      </c>
      <c r="CF132" s="2">
        <v>0</v>
      </c>
      <c r="CG132" s="2">
        <v>0</v>
      </c>
      <c r="CH132" s="2"/>
      <c r="CI132" s="2"/>
      <c r="CJ132" s="2"/>
      <c r="CK132" s="2"/>
      <c r="CL132" s="2"/>
      <c r="CM132" s="2">
        <v>0</v>
      </c>
      <c r="CN132" s="2" t="s">
        <v>3</v>
      </c>
      <c r="CO132" s="2">
        <v>0</v>
      </c>
      <c r="CP132" s="2">
        <f>AB132*AZ132</f>
        <v>42.98</v>
      </c>
      <c r="CQ132" s="2">
        <v>0</v>
      </c>
      <c r="CR132" s="2">
        <v>0</v>
      </c>
      <c r="CS132" s="2">
        <v>0</v>
      </c>
      <c r="CT132" s="2">
        <v>0</v>
      </c>
      <c r="CU132" s="2">
        <v>0</v>
      </c>
      <c r="CV132" s="2">
        <v>0</v>
      </c>
      <c r="CW132" s="2">
        <v>0</v>
      </c>
      <c r="CX132" s="2">
        <v>0</v>
      </c>
      <c r="CY132" s="2">
        <v>0</v>
      </c>
      <c r="CZ132" s="2">
        <v>0</v>
      </c>
      <c r="DA132" s="2"/>
      <c r="DB132" s="2"/>
      <c r="DC132" s="2" t="s">
        <v>3</v>
      </c>
      <c r="DD132" s="2" t="s">
        <v>3</v>
      </c>
      <c r="DE132" s="2" t="s">
        <v>3</v>
      </c>
      <c r="DF132" s="2" t="s">
        <v>3</v>
      </c>
      <c r="DG132" s="2" t="s">
        <v>3</v>
      </c>
      <c r="DH132" s="2" t="s">
        <v>3</v>
      </c>
      <c r="DI132" s="2" t="s">
        <v>3</v>
      </c>
      <c r="DJ132" s="2" t="s">
        <v>3</v>
      </c>
      <c r="DK132" s="2" t="s">
        <v>3</v>
      </c>
      <c r="DL132" s="2" t="s">
        <v>3</v>
      </c>
      <c r="DM132" s="2" t="s">
        <v>3</v>
      </c>
      <c r="DN132" s="2">
        <v>0</v>
      </c>
      <c r="DO132" s="2">
        <v>0</v>
      </c>
      <c r="DP132" s="2">
        <v>1</v>
      </c>
      <c r="DQ132" s="2">
        <v>1</v>
      </c>
      <c r="DR132" s="2"/>
      <c r="DS132" s="2"/>
      <c r="DT132" s="2"/>
      <c r="DU132" s="2">
        <v>1013</v>
      </c>
      <c r="DV132" s="2" t="s">
        <v>180</v>
      </c>
      <c r="DW132" s="2" t="s">
        <v>180</v>
      </c>
      <c r="DX132" s="2">
        <v>1</v>
      </c>
      <c r="DY132" s="2"/>
      <c r="DZ132" s="2" t="s">
        <v>3</v>
      </c>
      <c r="EA132" s="2" t="s">
        <v>3</v>
      </c>
      <c r="EB132" s="2" t="s">
        <v>3</v>
      </c>
      <c r="EC132" s="2" t="s">
        <v>3</v>
      </c>
      <c r="ED132" s="2"/>
      <c r="EE132" s="2">
        <v>55471915</v>
      </c>
      <c r="EF132" s="2">
        <v>19</v>
      </c>
      <c r="EG132" s="2" t="s">
        <v>182</v>
      </c>
      <c r="EH132" s="2">
        <v>106</v>
      </c>
      <c r="EI132" s="2" t="s">
        <v>182</v>
      </c>
      <c r="EJ132" s="2">
        <v>1</v>
      </c>
      <c r="EK132" s="2">
        <v>700004</v>
      </c>
      <c r="EL132" s="2" t="s">
        <v>182</v>
      </c>
      <c r="EM132" s="2" t="s">
        <v>183</v>
      </c>
      <c r="EN132" s="2"/>
      <c r="EO132" s="2" t="s">
        <v>3</v>
      </c>
      <c r="EP132" s="2"/>
      <c r="EQ132" s="2">
        <v>0</v>
      </c>
      <c r="ER132" s="2">
        <v>0</v>
      </c>
      <c r="ES132" s="2">
        <v>0</v>
      </c>
      <c r="ET132" s="2">
        <v>0</v>
      </c>
      <c r="EU132" s="2">
        <v>0</v>
      </c>
      <c r="EV132" s="2">
        <v>0</v>
      </c>
      <c r="EW132" s="2">
        <v>0</v>
      </c>
      <c r="EX132" s="2">
        <v>0</v>
      </c>
      <c r="EY132" s="2">
        <v>0</v>
      </c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>
        <v>0</v>
      </c>
      <c r="FR132" s="2">
        <f t="shared" si="117"/>
        <v>0</v>
      </c>
      <c r="FS132" s="2">
        <v>0</v>
      </c>
      <c r="FT132" s="2"/>
      <c r="FU132" s="2"/>
      <c r="FV132" s="2"/>
      <c r="FW132" s="2"/>
      <c r="FX132" s="2">
        <v>0</v>
      </c>
      <c r="FY132" s="2">
        <v>0</v>
      </c>
      <c r="FZ132" s="2"/>
      <c r="GA132" s="2" t="s">
        <v>3</v>
      </c>
      <c r="GB132" s="2"/>
      <c r="GC132" s="2"/>
      <c r="GD132" s="2">
        <v>1</v>
      </c>
      <c r="GE132" s="2"/>
      <c r="GF132" s="2">
        <v>26033588</v>
      </c>
      <c r="GG132" s="2">
        <v>2</v>
      </c>
      <c r="GH132" s="2">
        <v>1</v>
      </c>
      <c r="GI132" s="2">
        <v>-2</v>
      </c>
      <c r="GJ132" s="2">
        <v>2</v>
      </c>
      <c r="GK132" s="2">
        <v>0</v>
      </c>
      <c r="GL132" s="2">
        <f t="shared" si="118"/>
        <v>0</v>
      </c>
      <c r="GM132" s="2">
        <f>ROUND(CP132*I132,2)</f>
        <v>480.52</v>
      </c>
      <c r="GN132" s="2">
        <f>IF(OR(BI132=0,BI132=1),ROUND(CP132*I132,2),0)</f>
        <v>480.52</v>
      </c>
      <c r="GO132" s="2">
        <f>IF(BI132=2,ROUND(CP132*I132,2),0)</f>
        <v>0</v>
      </c>
      <c r="GP132" s="2">
        <f>IF(BI132=4,ROUND(CP132*I132,2)+GX132,0)</f>
        <v>0</v>
      </c>
      <c r="GQ132" s="2"/>
      <c r="GR132" s="2">
        <v>0</v>
      </c>
      <c r="GS132" s="2">
        <v>0</v>
      </c>
      <c r="GT132" s="2">
        <v>0</v>
      </c>
      <c r="GU132" s="2" t="s">
        <v>3</v>
      </c>
      <c r="GV132" s="2">
        <f>0</f>
        <v>0</v>
      </c>
      <c r="GW132" s="2">
        <v>1</v>
      </c>
      <c r="GX132" s="2">
        <f>0</f>
        <v>0</v>
      </c>
      <c r="GY132" s="2"/>
      <c r="GZ132" s="2"/>
      <c r="HA132" s="2">
        <v>0</v>
      </c>
      <c r="HB132" s="2">
        <v>0</v>
      </c>
      <c r="HC132" s="2">
        <v>0</v>
      </c>
      <c r="HD132" s="2">
        <f>GM132</f>
        <v>480.52</v>
      </c>
      <c r="HE132" s="2" t="s">
        <v>3</v>
      </c>
      <c r="HF132" s="2" t="s">
        <v>3</v>
      </c>
      <c r="HG132" s="2"/>
      <c r="HH132" s="2"/>
      <c r="HI132" s="2"/>
      <c r="HJ132" s="2"/>
      <c r="HK132" s="2"/>
      <c r="HL132" s="2"/>
      <c r="HM132" s="2" t="s">
        <v>3</v>
      </c>
      <c r="HN132" s="2" t="s">
        <v>3</v>
      </c>
      <c r="HO132" s="2" t="s">
        <v>3</v>
      </c>
      <c r="HP132" s="2" t="s">
        <v>3</v>
      </c>
      <c r="HQ132" s="2" t="s">
        <v>3</v>
      </c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>
        <v>0</v>
      </c>
      <c r="IL132" s="2"/>
      <c r="IM132" s="2"/>
      <c r="IN132" s="2"/>
      <c r="IO132" s="2"/>
      <c r="IP132" s="2"/>
      <c r="IQ132" s="2"/>
      <c r="IR132" s="2"/>
      <c r="IS132" s="2"/>
      <c r="IT132" s="2"/>
      <c r="IU132" s="2"/>
    </row>
    <row r="133" spans="1:245" ht="12.75">
      <c r="A133">
        <v>17</v>
      </c>
      <c r="B133">
        <v>1</v>
      </c>
      <c r="E133" t="s">
        <v>177</v>
      </c>
      <c r="F133" t="s">
        <v>178</v>
      </c>
      <c r="G133" t="s">
        <v>179</v>
      </c>
      <c r="H133" t="s">
        <v>180</v>
      </c>
      <c r="I133">
        <f>ROUND(ROUND(11.18,2),7)</f>
        <v>11.18</v>
      </c>
      <c r="J133">
        <v>0</v>
      </c>
      <c r="K133">
        <f>ROUND(ROUND(11.18,2),7)</f>
        <v>11.18</v>
      </c>
      <c r="O133">
        <f>0</f>
        <v>0</v>
      </c>
      <c r="P133">
        <f>0</f>
        <v>0</v>
      </c>
      <c r="Q133">
        <f>0</f>
        <v>0</v>
      </c>
      <c r="R133">
        <f>0</f>
        <v>0</v>
      </c>
      <c r="S133">
        <f>0</f>
        <v>0</v>
      </c>
      <c r="T133">
        <f>0</f>
        <v>0</v>
      </c>
      <c r="U133">
        <f>0</f>
        <v>0</v>
      </c>
      <c r="V133">
        <f>0</f>
        <v>0</v>
      </c>
      <c r="W133">
        <f>0</f>
        <v>0</v>
      </c>
      <c r="X133">
        <f>0</f>
        <v>0</v>
      </c>
      <c r="Y133">
        <f>0</f>
        <v>0</v>
      </c>
      <c r="AA133">
        <v>55655399</v>
      </c>
      <c r="AB133">
        <f>ROUND((AK133),2)</f>
        <v>42.98</v>
      </c>
      <c r="AC133">
        <f>0</f>
        <v>0</v>
      </c>
      <c r="AD133">
        <f>0</f>
        <v>0</v>
      </c>
      <c r="AE133">
        <f>0</f>
        <v>0</v>
      </c>
      <c r="AF133">
        <f>0</f>
        <v>0</v>
      </c>
      <c r="AG133">
        <f>0</f>
        <v>0</v>
      </c>
      <c r="AH133">
        <f>0</f>
        <v>0</v>
      </c>
      <c r="AI133">
        <f>0</f>
        <v>0</v>
      </c>
      <c r="AJ133">
        <f>0</f>
        <v>0</v>
      </c>
      <c r="AK133">
        <v>42.98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1</v>
      </c>
      <c r="AW133">
        <v>1</v>
      </c>
      <c r="AZ133">
        <v>13.24</v>
      </c>
      <c r="BA133">
        <v>1</v>
      </c>
      <c r="BB133">
        <v>1</v>
      </c>
      <c r="BC133">
        <v>1</v>
      </c>
      <c r="BH133">
        <v>0</v>
      </c>
      <c r="BI133">
        <v>1</v>
      </c>
      <c r="BJ133" t="s">
        <v>181</v>
      </c>
      <c r="BM133">
        <v>700004</v>
      </c>
      <c r="BN133">
        <v>0</v>
      </c>
      <c r="BO133" t="s">
        <v>34</v>
      </c>
      <c r="BP133">
        <v>1</v>
      </c>
      <c r="BQ133">
        <v>19</v>
      </c>
      <c r="BR133">
        <v>0</v>
      </c>
      <c r="BS133">
        <v>1</v>
      </c>
      <c r="BT133">
        <v>1</v>
      </c>
      <c r="BU133">
        <v>1</v>
      </c>
      <c r="BV133">
        <v>1</v>
      </c>
      <c r="BW133">
        <v>1</v>
      </c>
      <c r="BX133">
        <v>1</v>
      </c>
      <c r="BZ133">
        <v>0</v>
      </c>
      <c r="CA133">
        <v>0</v>
      </c>
      <c r="CE133">
        <v>0</v>
      </c>
      <c r="CF133">
        <v>0</v>
      </c>
      <c r="CG133">
        <v>0</v>
      </c>
      <c r="CM133">
        <v>0</v>
      </c>
      <c r="CO133">
        <v>0</v>
      </c>
      <c r="CP133">
        <f>AB133*AZ133</f>
        <v>569.0552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N133">
        <v>0</v>
      </c>
      <c r="DO133">
        <v>0</v>
      </c>
      <c r="DP133">
        <v>1</v>
      </c>
      <c r="DQ133">
        <v>1</v>
      </c>
      <c r="DU133">
        <v>1013</v>
      </c>
      <c r="DV133" t="s">
        <v>180</v>
      </c>
      <c r="DW133" t="s">
        <v>180</v>
      </c>
      <c r="DX133">
        <v>1</v>
      </c>
      <c r="EE133">
        <v>55471915</v>
      </c>
      <c r="EF133">
        <v>19</v>
      </c>
      <c r="EG133" t="s">
        <v>182</v>
      </c>
      <c r="EH133">
        <v>106</v>
      </c>
      <c r="EI133" t="s">
        <v>182</v>
      </c>
      <c r="EJ133">
        <v>1</v>
      </c>
      <c r="EK133">
        <v>700004</v>
      </c>
      <c r="EL133" t="s">
        <v>182</v>
      </c>
      <c r="EM133" t="s">
        <v>183</v>
      </c>
      <c r="EQ133">
        <v>0</v>
      </c>
      <c r="ER133">
        <v>0</v>
      </c>
      <c r="ES133">
        <v>0</v>
      </c>
      <c r="ET133">
        <v>0</v>
      </c>
      <c r="EU133">
        <v>0</v>
      </c>
      <c r="EV133">
        <v>0</v>
      </c>
      <c r="EW133">
        <v>0</v>
      </c>
      <c r="EX133">
        <v>0</v>
      </c>
      <c r="EY133">
        <v>0</v>
      </c>
      <c r="FQ133">
        <v>0</v>
      </c>
      <c r="FR133">
        <f t="shared" si="117"/>
        <v>0</v>
      </c>
      <c r="FS133">
        <v>0</v>
      </c>
      <c r="FX133">
        <v>0</v>
      </c>
      <c r="FY133">
        <v>0</v>
      </c>
      <c r="GD133">
        <v>1</v>
      </c>
      <c r="GF133">
        <v>26033588</v>
      </c>
      <c r="GG133">
        <v>2</v>
      </c>
      <c r="GH133">
        <v>1</v>
      </c>
      <c r="GI133">
        <v>4</v>
      </c>
      <c r="GJ133">
        <v>2</v>
      </c>
      <c r="GK133">
        <v>0</v>
      </c>
      <c r="GL133">
        <f t="shared" si="118"/>
        <v>0</v>
      </c>
      <c r="GM133">
        <f>ROUND(CP133*I133,2)</f>
        <v>6362.04</v>
      </c>
      <c r="GN133">
        <f>IF(OR(BI133=0,BI133=1),ROUND(CP133*I133,2),0)</f>
        <v>6362.04</v>
      </c>
      <c r="GO133">
        <f>IF(BI133=2,ROUND(CP133*I133,2),0)</f>
        <v>0</v>
      </c>
      <c r="GP133">
        <f>IF(BI133=4,ROUND(CP133*I133,2)+GX133,0)</f>
        <v>0</v>
      </c>
      <c r="GR133">
        <v>0</v>
      </c>
      <c r="GS133">
        <v>0</v>
      </c>
      <c r="GT133">
        <v>0</v>
      </c>
      <c r="GV133">
        <f>0</f>
        <v>0</v>
      </c>
      <c r="GW133">
        <v>1</v>
      </c>
      <c r="GX133">
        <f>0</f>
        <v>0</v>
      </c>
      <c r="HA133">
        <v>0</v>
      </c>
      <c r="HB133">
        <v>0</v>
      </c>
      <c r="HC133">
        <v>0</v>
      </c>
      <c r="HD133">
        <f>GM133</f>
        <v>6362.04</v>
      </c>
      <c r="IK133">
        <v>0</v>
      </c>
    </row>
    <row r="134" spans="1:255" ht="12.75">
      <c r="A134" s="2">
        <v>17</v>
      </c>
      <c r="B134" s="2">
        <v>1</v>
      </c>
      <c r="C134" s="2"/>
      <c r="D134" s="2"/>
      <c r="E134" s="2" t="s">
        <v>184</v>
      </c>
      <c r="F134" s="2" t="s">
        <v>185</v>
      </c>
      <c r="G134" s="2" t="s">
        <v>186</v>
      </c>
      <c r="H134" s="2" t="s">
        <v>180</v>
      </c>
      <c r="I134" s="2">
        <f>ROUND(ROUND(11.18,2),7)</f>
        <v>11.18</v>
      </c>
      <c r="J134" s="2">
        <v>0</v>
      </c>
      <c r="K134" s="2">
        <f>ROUND(ROUND(11.18,2),7)</f>
        <v>11.18</v>
      </c>
      <c r="L134" s="2"/>
      <c r="M134" s="2"/>
      <c r="N134" s="2"/>
      <c r="O134" s="2">
        <f>0</f>
        <v>0</v>
      </c>
      <c r="P134" s="2">
        <f>0</f>
        <v>0</v>
      </c>
      <c r="Q134" s="2">
        <f>0</f>
        <v>0</v>
      </c>
      <c r="R134" s="2">
        <f>0</f>
        <v>0</v>
      </c>
      <c r="S134" s="2">
        <f>0</f>
        <v>0</v>
      </c>
      <c r="T134" s="2">
        <f>0</f>
        <v>0</v>
      </c>
      <c r="U134" s="2">
        <f>0</f>
        <v>0</v>
      </c>
      <c r="V134" s="2">
        <f>0</f>
        <v>0</v>
      </c>
      <c r="W134" s="2">
        <f>0</f>
        <v>0</v>
      </c>
      <c r="X134" s="2">
        <f>0</f>
        <v>0</v>
      </c>
      <c r="Y134" s="2">
        <f>0</f>
        <v>0</v>
      </c>
      <c r="Z134" s="2"/>
      <c r="AA134" s="2">
        <v>55655398</v>
      </c>
      <c r="AB134" s="2">
        <f>ROUND((AK134),2)</f>
        <v>23.67</v>
      </c>
      <c r="AC134" s="2">
        <f>0</f>
        <v>0</v>
      </c>
      <c r="AD134" s="2">
        <f>0</f>
        <v>0</v>
      </c>
      <c r="AE134" s="2">
        <f>0</f>
        <v>0</v>
      </c>
      <c r="AF134" s="2">
        <f>0</f>
        <v>0</v>
      </c>
      <c r="AG134" s="2">
        <f>0</f>
        <v>0</v>
      </c>
      <c r="AH134" s="2">
        <f>0</f>
        <v>0</v>
      </c>
      <c r="AI134" s="2">
        <f>0</f>
        <v>0</v>
      </c>
      <c r="AJ134" s="2">
        <f>0</f>
        <v>0</v>
      </c>
      <c r="AK134" s="2">
        <v>23.67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1</v>
      </c>
      <c r="AW134" s="2">
        <v>1</v>
      </c>
      <c r="AX134" s="2"/>
      <c r="AY134" s="2"/>
      <c r="AZ134" s="2">
        <v>1</v>
      </c>
      <c r="BA134" s="2">
        <v>1</v>
      </c>
      <c r="BB134" s="2">
        <v>1</v>
      </c>
      <c r="BC134" s="2">
        <v>1</v>
      </c>
      <c r="BD134" s="2" t="s">
        <v>3</v>
      </c>
      <c r="BE134" s="2" t="s">
        <v>3</v>
      </c>
      <c r="BF134" s="2" t="s">
        <v>3</v>
      </c>
      <c r="BG134" s="2" t="s">
        <v>3</v>
      </c>
      <c r="BH134" s="2">
        <v>0</v>
      </c>
      <c r="BI134" s="2">
        <v>1</v>
      </c>
      <c r="BJ134" s="2" t="s">
        <v>187</v>
      </c>
      <c r="BK134" s="2"/>
      <c r="BL134" s="2"/>
      <c r="BM134" s="2">
        <v>700005</v>
      </c>
      <c r="BN134" s="2">
        <v>0</v>
      </c>
      <c r="BO134" s="2" t="s">
        <v>3</v>
      </c>
      <c r="BP134" s="2">
        <v>0</v>
      </c>
      <c r="BQ134" s="2">
        <v>10</v>
      </c>
      <c r="BR134" s="2">
        <v>0</v>
      </c>
      <c r="BS134" s="2">
        <v>1</v>
      </c>
      <c r="BT134" s="2">
        <v>1</v>
      </c>
      <c r="BU134" s="2">
        <v>1</v>
      </c>
      <c r="BV134" s="2">
        <v>1</v>
      </c>
      <c r="BW134" s="2">
        <v>1</v>
      </c>
      <c r="BX134" s="2">
        <v>1</v>
      </c>
      <c r="BY134" s="2" t="s">
        <v>3</v>
      </c>
      <c r="BZ134" s="2">
        <v>0</v>
      </c>
      <c r="CA134" s="2">
        <v>0</v>
      </c>
      <c r="CB134" s="2" t="s">
        <v>3</v>
      </c>
      <c r="CC134" s="2"/>
      <c r="CD134" s="2"/>
      <c r="CE134" s="2">
        <v>0</v>
      </c>
      <c r="CF134" s="2">
        <v>0</v>
      </c>
      <c r="CG134" s="2">
        <v>0</v>
      </c>
      <c r="CH134" s="2"/>
      <c r="CI134" s="2"/>
      <c r="CJ134" s="2"/>
      <c r="CK134" s="2"/>
      <c r="CL134" s="2"/>
      <c r="CM134" s="2">
        <v>0</v>
      </c>
      <c r="CN134" s="2" t="s">
        <v>3</v>
      </c>
      <c r="CO134" s="2">
        <v>0</v>
      </c>
      <c r="CP134" s="2">
        <f>AB134*AZ134</f>
        <v>23.67</v>
      </c>
      <c r="CQ134" s="2">
        <v>0</v>
      </c>
      <c r="CR134" s="2">
        <v>0</v>
      </c>
      <c r="CS134" s="2">
        <v>0</v>
      </c>
      <c r="CT134" s="2">
        <v>0</v>
      </c>
      <c r="CU134" s="2">
        <v>0</v>
      </c>
      <c r="CV134" s="2">
        <v>0</v>
      </c>
      <c r="CW134" s="2">
        <v>0</v>
      </c>
      <c r="CX134" s="2">
        <v>0</v>
      </c>
      <c r="CY134" s="2">
        <v>0</v>
      </c>
      <c r="CZ134" s="2">
        <v>0</v>
      </c>
      <c r="DA134" s="2"/>
      <c r="DB134" s="2"/>
      <c r="DC134" s="2" t="s">
        <v>3</v>
      </c>
      <c r="DD134" s="2" t="s">
        <v>3</v>
      </c>
      <c r="DE134" s="2" t="s">
        <v>3</v>
      </c>
      <c r="DF134" s="2" t="s">
        <v>3</v>
      </c>
      <c r="DG134" s="2" t="s">
        <v>3</v>
      </c>
      <c r="DH134" s="2" t="s">
        <v>3</v>
      </c>
      <c r="DI134" s="2" t="s">
        <v>3</v>
      </c>
      <c r="DJ134" s="2" t="s">
        <v>3</v>
      </c>
      <c r="DK134" s="2" t="s">
        <v>3</v>
      </c>
      <c r="DL134" s="2" t="s">
        <v>3</v>
      </c>
      <c r="DM134" s="2" t="s">
        <v>3</v>
      </c>
      <c r="DN134" s="2">
        <v>0</v>
      </c>
      <c r="DO134" s="2">
        <v>0</v>
      </c>
      <c r="DP134" s="2">
        <v>1</v>
      </c>
      <c r="DQ134" s="2">
        <v>1</v>
      </c>
      <c r="DR134" s="2"/>
      <c r="DS134" s="2"/>
      <c r="DT134" s="2"/>
      <c r="DU134" s="2">
        <v>1013</v>
      </c>
      <c r="DV134" s="2" t="s">
        <v>180</v>
      </c>
      <c r="DW134" s="2" t="s">
        <v>180</v>
      </c>
      <c r="DX134" s="2">
        <v>1</v>
      </c>
      <c r="DY134" s="2"/>
      <c r="DZ134" s="2" t="s">
        <v>3</v>
      </c>
      <c r="EA134" s="2" t="s">
        <v>3</v>
      </c>
      <c r="EB134" s="2" t="s">
        <v>3</v>
      </c>
      <c r="EC134" s="2" t="s">
        <v>3</v>
      </c>
      <c r="ED134" s="2"/>
      <c r="EE134" s="2">
        <v>55471919</v>
      </c>
      <c r="EF134" s="2">
        <v>10</v>
      </c>
      <c r="EG134" s="2" t="s">
        <v>188</v>
      </c>
      <c r="EH134" s="2">
        <v>107</v>
      </c>
      <c r="EI134" s="2" t="s">
        <v>189</v>
      </c>
      <c r="EJ134" s="2">
        <v>1</v>
      </c>
      <c r="EK134" s="2">
        <v>700005</v>
      </c>
      <c r="EL134" s="2" t="s">
        <v>189</v>
      </c>
      <c r="EM134" s="2" t="s">
        <v>190</v>
      </c>
      <c r="EN134" s="2"/>
      <c r="EO134" s="2" t="s">
        <v>3</v>
      </c>
      <c r="EP134" s="2"/>
      <c r="EQ134" s="2">
        <v>0</v>
      </c>
      <c r="ER134" s="2">
        <v>0</v>
      </c>
      <c r="ES134" s="2">
        <v>0</v>
      </c>
      <c r="ET134" s="2">
        <v>0</v>
      </c>
      <c r="EU134" s="2">
        <v>0</v>
      </c>
      <c r="EV134" s="2">
        <v>0</v>
      </c>
      <c r="EW134" s="2">
        <v>0</v>
      </c>
      <c r="EX134" s="2">
        <v>0</v>
      </c>
      <c r="EY134" s="2">
        <v>0</v>
      </c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>
        <v>0</v>
      </c>
      <c r="FR134" s="2">
        <f t="shared" si="117"/>
        <v>0</v>
      </c>
      <c r="FS134" s="2">
        <v>0</v>
      </c>
      <c r="FT134" s="2"/>
      <c r="FU134" s="2"/>
      <c r="FV134" s="2"/>
      <c r="FW134" s="2"/>
      <c r="FX134" s="2">
        <v>0</v>
      </c>
      <c r="FY134" s="2">
        <v>0</v>
      </c>
      <c r="FZ134" s="2"/>
      <c r="GA134" s="2" t="s">
        <v>3</v>
      </c>
      <c r="GB134" s="2"/>
      <c r="GC134" s="2"/>
      <c r="GD134" s="2">
        <v>1</v>
      </c>
      <c r="GE134" s="2"/>
      <c r="GF134" s="2">
        <v>977903381</v>
      </c>
      <c r="GG134" s="2">
        <v>2</v>
      </c>
      <c r="GH134" s="2">
        <v>1</v>
      </c>
      <c r="GI134" s="2">
        <v>-2</v>
      </c>
      <c r="GJ134" s="2">
        <v>2</v>
      </c>
      <c r="GK134" s="2">
        <v>0</v>
      </c>
      <c r="GL134" s="2">
        <f t="shared" si="118"/>
        <v>0</v>
      </c>
      <c r="GM134" s="2">
        <f>ROUND(CP134*I134,2)</f>
        <v>264.63</v>
      </c>
      <c r="GN134" s="2">
        <f>IF(OR(BI134=0,BI134=1),ROUND(CP134*I134,2),0)</f>
        <v>264.63</v>
      </c>
      <c r="GO134" s="2">
        <f>IF(BI134=2,ROUND(CP134*I134,2),0)</f>
        <v>0</v>
      </c>
      <c r="GP134" s="2">
        <f>IF(BI134=4,ROUND(CP134*I134,2)+GX134,0)</f>
        <v>0</v>
      </c>
      <c r="GQ134" s="2"/>
      <c r="GR134" s="2">
        <v>0</v>
      </c>
      <c r="GS134" s="2">
        <v>0</v>
      </c>
      <c r="GT134" s="2">
        <v>0</v>
      </c>
      <c r="GU134" s="2" t="s">
        <v>3</v>
      </c>
      <c r="GV134" s="2">
        <f>0</f>
        <v>0</v>
      </c>
      <c r="GW134" s="2">
        <v>1</v>
      </c>
      <c r="GX134" s="2">
        <f>0</f>
        <v>0</v>
      </c>
      <c r="GY134" s="2"/>
      <c r="GZ134" s="2"/>
      <c r="HA134" s="2">
        <v>0</v>
      </c>
      <c r="HB134" s="2">
        <v>0</v>
      </c>
      <c r="HC134" s="2">
        <v>0</v>
      </c>
      <c r="HD134" s="2">
        <f>GM134</f>
        <v>264.63</v>
      </c>
      <c r="HE134" s="2" t="s">
        <v>3</v>
      </c>
      <c r="HF134" s="2" t="s">
        <v>3</v>
      </c>
      <c r="HG134" s="2"/>
      <c r="HH134" s="2"/>
      <c r="HI134" s="2"/>
      <c r="HJ134" s="2"/>
      <c r="HK134" s="2"/>
      <c r="HL134" s="2"/>
      <c r="HM134" s="2" t="s">
        <v>3</v>
      </c>
      <c r="HN134" s="2" t="s">
        <v>3</v>
      </c>
      <c r="HO134" s="2" t="s">
        <v>3</v>
      </c>
      <c r="HP134" s="2" t="s">
        <v>3</v>
      </c>
      <c r="HQ134" s="2" t="s">
        <v>3</v>
      </c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>
        <v>0</v>
      </c>
      <c r="IL134" s="2"/>
      <c r="IM134" s="2"/>
      <c r="IN134" s="2"/>
      <c r="IO134" s="2"/>
      <c r="IP134" s="2"/>
      <c r="IQ134" s="2"/>
      <c r="IR134" s="2"/>
      <c r="IS134" s="2"/>
      <c r="IT134" s="2"/>
      <c r="IU134" s="2"/>
    </row>
    <row r="135" spans="1:245" ht="12.75">
      <c r="A135">
        <v>17</v>
      </c>
      <c r="B135">
        <v>1</v>
      </c>
      <c r="E135" t="s">
        <v>184</v>
      </c>
      <c r="F135" t="s">
        <v>185</v>
      </c>
      <c r="G135" t="s">
        <v>186</v>
      </c>
      <c r="H135" t="s">
        <v>180</v>
      </c>
      <c r="I135">
        <f>ROUND(ROUND(11.18,2),7)</f>
        <v>11.18</v>
      </c>
      <c r="J135">
        <v>0</v>
      </c>
      <c r="K135">
        <f>ROUND(ROUND(11.18,2),7)</f>
        <v>11.18</v>
      </c>
      <c r="O135">
        <f>0</f>
        <v>0</v>
      </c>
      <c r="P135">
        <f>0</f>
        <v>0</v>
      </c>
      <c r="Q135">
        <f>0</f>
        <v>0</v>
      </c>
      <c r="R135">
        <f>0</f>
        <v>0</v>
      </c>
      <c r="S135">
        <f>0</f>
        <v>0</v>
      </c>
      <c r="T135">
        <f>0</f>
        <v>0</v>
      </c>
      <c r="U135">
        <f>0</f>
        <v>0</v>
      </c>
      <c r="V135">
        <f>0</f>
        <v>0</v>
      </c>
      <c r="W135">
        <f>0</f>
        <v>0</v>
      </c>
      <c r="X135">
        <f>0</f>
        <v>0</v>
      </c>
      <c r="Y135">
        <f>0</f>
        <v>0</v>
      </c>
      <c r="AA135">
        <v>55655399</v>
      </c>
      <c r="AB135">
        <f>ROUND((AK135),2)</f>
        <v>23.67</v>
      </c>
      <c r="AC135">
        <f>0</f>
        <v>0</v>
      </c>
      <c r="AD135">
        <f>0</f>
        <v>0</v>
      </c>
      <c r="AE135">
        <f>0</f>
        <v>0</v>
      </c>
      <c r="AF135">
        <f>0</f>
        <v>0</v>
      </c>
      <c r="AG135">
        <f>0</f>
        <v>0</v>
      </c>
      <c r="AH135">
        <f>0</f>
        <v>0</v>
      </c>
      <c r="AI135">
        <f>0</f>
        <v>0</v>
      </c>
      <c r="AJ135">
        <f>0</f>
        <v>0</v>
      </c>
      <c r="AK135">
        <v>23.67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1</v>
      </c>
      <c r="AW135">
        <v>1</v>
      </c>
      <c r="AZ135">
        <v>13.24</v>
      </c>
      <c r="BA135">
        <v>1</v>
      </c>
      <c r="BB135">
        <v>1</v>
      </c>
      <c r="BC135">
        <v>1</v>
      </c>
      <c r="BH135">
        <v>0</v>
      </c>
      <c r="BI135">
        <v>1</v>
      </c>
      <c r="BJ135" t="s">
        <v>187</v>
      </c>
      <c r="BM135">
        <v>700005</v>
      </c>
      <c r="BN135">
        <v>0</v>
      </c>
      <c r="BO135" t="s">
        <v>34</v>
      </c>
      <c r="BP135">
        <v>1</v>
      </c>
      <c r="BQ135">
        <v>10</v>
      </c>
      <c r="BR135">
        <v>0</v>
      </c>
      <c r="BS135">
        <v>1</v>
      </c>
      <c r="BT135">
        <v>1</v>
      </c>
      <c r="BU135">
        <v>1</v>
      </c>
      <c r="BV135">
        <v>1</v>
      </c>
      <c r="BW135">
        <v>1</v>
      </c>
      <c r="BX135">
        <v>1</v>
      </c>
      <c r="BZ135">
        <v>0</v>
      </c>
      <c r="CA135">
        <v>0</v>
      </c>
      <c r="CE135">
        <v>0</v>
      </c>
      <c r="CF135">
        <v>0</v>
      </c>
      <c r="CG135">
        <v>0</v>
      </c>
      <c r="CM135">
        <v>0</v>
      </c>
      <c r="CO135">
        <v>0</v>
      </c>
      <c r="CP135">
        <f>AB135*AZ135</f>
        <v>313.3908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N135">
        <v>0</v>
      </c>
      <c r="DO135">
        <v>0</v>
      </c>
      <c r="DP135">
        <v>1</v>
      </c>
      <c r="DQ135">
        <v>1</v>
      </c>
      <c r="DU135">
        <v>1013</v>
      </c>
      <c r="DV135" t="s">
        <v>180</v>
      </c>
      <c r="DW135" t="s">
        <v>180</v>
      </c>
      <c r="DX135">
        <v>1</v>
      </c>
      <c r="EE135">
        <v>55471919</v>
      </c>
      <c r="EF135">
        <v>10</v>
      </c>
      <c r="EG135" t="s">
        <v>188</v>
      </c>
      <c r="EH135">
        <v>107</v>
      </c>
      <c r="EI135" t="s">
        <v>189</v>
      </c>
      <c r="EJ135">
        <v>1</v>
      </c>
      <c r="EK135">
        <v>700005</v>
      </c>
      <c r="EL135" t="s">
        <v>189</v>
      </c>
      <c r="EM135" t="s">
        <v>190</v>
      </c>
      <c r="EQ135">
        <v>0</v>
      </c>
      <c r="ER135">
        <v>0</v>
      </c>
      <c r="ES135">
        <v>0</v>
      </c>
      <c r="ET135">
        <v>0</v>
      </c>
      <c r="EU135">
        <v>0</v>
      </c>
      <c r="EV135">
        <v>0</v>
      </c>
      <c r="EW135">
        <v>0</v>
      </c>
      <c r="EX135">
        <v>0</v>
      </c>
      <c r="EY135">
        <v>0</v>
      </c>
      <c r="FQ135">
        <v>0</v>
      </c>
      <c r="FR135">
        <f t="shared" si="117"/>
        <v>0</v>
      </c>
      <c r="FS135">
        <v>0</v>
      </c>
      <c r="FX135">
        <v>0</v>
      </c>
      <c r="FY135">
        <v>0</v>
      </c>
      <c r="GD135">
        <v>1</v>
      </c>
      <c r="GF135">
        <v>977903381</v>
      </c>
      <c r="GG135">
        <v>2</v>
      </c>
      <c r="GH135">
        <v>1</v>
      </c>
      <c r="GI135">
        <v>4</v>
      </c>
      <c r="GJ135">
        <v>2</v>
      </c>
      <c r="GK135">
        <v>0</v>
      </c>
      <c r="GL135">
        <f t="shared" si="118"/>
        <v>0</v>
      </c>
      <c r="GM135">
        <f>ROUND(CP135*I135,2)</f>
        <v>3503.71</v>
      </c>
      <c r="GN135">
        <f>IF(OR(BI135=0,BI135=1),ROUND(CP135*I135,2),0)</f>
        <v>3503.71</v>
      </c>
      <c r="GO135">
        <f>IF(BI135=2,ROUND(CP135*I135,2),0)</f>
        <v>0</v>
      </c>
      <c r="GP135">
        <f>IF(BI135=4,ROUND(CP135*I135,2)+GX135,0)</f>
        <v>0</v>
      </c>
      <c r="GR135">
        <v>0</v>
      </c>
      <c r="GS135">
        <v>0</v>
      </c>
      <c r="GT135">
        <v>0</v>
      </c>
      <c r="GV135">
        <f>0</f>
        <v>0</v>
      </c>
      <c r="GW135">
        <v>1</v>
      </c>
      <c r="GX135">
        <f>0</f>
        <v>0</v>
      </c>
      <c r="HA135">
        <v>0</v>
      </c>
      <c r="HB135">
        <v>0</v>
      </c>
      <c r="HC135">
        <v>0</v>
      </c>
      <c r="HD135">
        <f>GM135</f>
        <v>3503.71</v>
      </c>
      <c r="IK135">
        <v>0</v>
      </c>
    </row>
    <row r="137" spans="1:206" ht="12.75">
      <c r="A137" s="3">
        <v>51</v>
      </c>
      <c r="B137" s="3">
        <f>B126</f>
        <v>1</v>
      </c>
      <c r="C137" s="3">
        <f>A126</f>
        <v>4</v>
      </c>
      <c r="D137" s="3">
        <f>ROW(A126)</f>
        <v>126</v>
      </c>
      <c r="E137" s="3"/>
      <c r="F137" s="3" t="str">
        <f>IF(F126&lt;&gt;"",F126,"")</f>
        <v>Новый раздел</v>
      </c>
      <c r="G137" s="3" t="str">
        <f>IF(G126&lt;&gt;"",G126,"")</f>
        <v>Разные работы</v>
      </c>
      <c r="H137" s="3">
        <v>0</v>
      </c>
      <c r="I137" s="3"/>
      <c r="J137" s="3"/>
      <c r="K137" s="3"/>
      <c r="L137" s="3"/>
      <c r="M137" s="3"/>
      <c r="N137" s="3"/>
      <c r="O137" s="3">
        <f aca="true" t="shared" si="119" ref="O137:T137">ROUND(AB137,2)</f>
        <v>128.57</v>
      </c>
      <c r="P137" s="3">
        <f t="shared" si="119"/>
        <v>88.56</v>
      </c>
      <c r="Q137" s="3">
        <f t="shared" si="119"/>
        <v>0</v>
      </c>
      <c r="R137" s="3">
        <f t="shared" si="119"/>
        <v>0</v>
      </c>
      <c r="S137" s="3">
        <f t="shared" si="119"/>
        <v>40.01</v>
      </c>
      <c r="T137" s="3">
        <f t="shared" si="119"/>
        <v>0</v>
      </c>
      <c r="U137" s="3">
        <f>AH137</f>
        <v>5.562</v>
      </c>
      <c r="V137" s="3">
        <f>AI137</f>
        <v>0</v>
      </c>
      <c r="W137" s="3">
        <f>ROUND(AJ137,2)</f>
        <v>0</v>
      </c>
      <c r="X137" s="3">
        <f>ROUND(AK137,2)</f>
        <v>36.81</v>
      </c>
      <c r="Y137" s="3">
        <f>ROUND(AL137,2)</f>
        <v>17.6</v>
      </c>
      <c r="Z137" s="3"/>
      <c r="AA137" s="3"/>
      <c r="AB137" s="3">
        <f>ROUND(SUMIF(AA130:AA135,"=55655398",O130:O135),2)</f>
        <v>128.57</v>
      </c>
      <c r="AC137" s="3">
        <f>ROUND(SUMIF(AA130:AA135,"=55655398",P130:P135),2)</f>
        <v>88.56</v>
      </c>
      <c r="AD137" s="3">
        <f>ROUND(SUMIF(AA130:AA135,"=55655398",Q130:Q135),2)</f>
        <v>0</v>
      </c>
      <c r="AE137" s="3">
        <f>ROUND(SUMIF(AA130:AA135,"=55655398",R130:R135),2)</f>
        <v>0</v>
      </c>
      <c r="AF137" s="3">
        <f>ROUND(SUMIF(AA130:AA135,"=55655398",S130:S135),2)</f>
        <v>40.01</v>
      </c>
      <c r="AG137" s="3">
        <f>ROUND(SUMIF(AA130:AA135,"=55655398",T130:T135),2)</f>
        <v>0</v>
      </c>
      <c r="AH137" s="3">
        <f>SUMIF(AA130:AA135,"=55655398",U130:U135)</f>
        <v>5.562</v>
      </c>
      <c r="AI137" s="3">
        <f>SUMIF(AA130:AA135,"=55655398",V130:V135)</f>
        <v>0</v>
      </c>
      <c r="AJ137" s="3">
        <f>ROUND(SUMIF(AA130:AA135,"=55655398",W130:W135),2)</f>
        <v>0</v>
      </c>
      <c r="AK137" s="3">
        <f>ROUND(SUMIF(AA130:AA135,"=55655398",X130:X135),2)</f>
        <v>36.81</v>
      </c>
      <c r="AL137" s="3">
        <f>ROUND(SUMIF(AA130:AA135,"=55655398",Y130:Y135),2)</f>
        <v>17.6</v>
      </c>
      <c r="AM137" s="3"/>
      <c r="AN137" s="3"/>
      <c r="AO137" s="3">
        <f aca="true" t="shared" si="120" ref="AO137:BD137">ROUND(BX137,2)</f>
        <v>0</v>
      </c>
      <c r="AP137" s="3">
        <f t="shared" si="120"/>
        <v>0</v>
      </c>
      <c r="AQ137" s="3">
        <f t="shared" si="120"/>
        <v>0</v>
      </c>
      <c r="AR137" s="3">
        <f t="shared" si="120"/>
        <v>928.13</v>
      </c>
      <c r="AS137" s="3">
        <f t="shared" si="120"/>
        <v>928.13</v>
      </c>
      <c r="AT137" s="3">
        <f t="shared" si="120"/>
        <v>0</v>
      </c>
      <c r="AU137" s="3">
        <f t="shared" si="120"/>
        <v>0</v>
      </c>
      <c r="AV137" s="3">
        <f t="shared" si="120"/>
        <v>88.56</v>
      </c>
      <c r="AW137" s="3">
        <f t="shared" si="120"/>
        <v>88.56</v>
      </c>
      <c r="AX137" s="3">
        <f t="shared" si="120"/>
        <v>0</v>
      </c>
      <c r="AY137" s="3">
        <f t="shared" si="120"/>
        <v>88.56</v>
      </c>
      <c r="AZ137" s="3">
        <f t="shared" si="120"/>
        <v>0</v>
      </c>
      <c r="BA137" s="3">
        <f t="shared" si="120"/>
        <v>0</v>
      </c>
      <c r="BB137" s="3">
        <f t="shared" si="120"/>
        <v>0</v>
      </c>
      <c r="BC137" s="3">
        <f t="shared" si="120"/>
        <v>0</v>
      </c>
      <c r="BD137" s="3">
        <f t="shared" si="120"/>
        <v>745.15</v>
      </c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>
        <f>ROUND(SUMIF(AA130:AA135,"=55655398",FQ130:FQ135),2)</f>
        <v>0</v>
      </c>
      <c r="BY137" s="3">
        <f>ROUND(SUMIF(AA130:AA135,"=55655398",FR130:FR135),2)</f>
        <v>0</v>
      </c>
      <c r="BZ137" s="3">
        <f>ROUND(SUMIF(AA130:AA135,"=55655398",GL130:GL135),2)</f>
        <v>0</v>
      </c>
      <c r="CA137" s="3">
        <f>ROUND(SUMIF(AA130:AA135,"=55655398",GM130:GM135),2)</f>
        <v>928.13</v>
      </c>
      <c r="CB137" s="3">
        <f>ROUND(SUMIF(AA130:AA135,"=55655398",GN130:GN135),2)</f>
        <v>928.13</v>
      </c>
      <c r="CC137" s="3">
        <f>ROUND(SUMIF(AA130:AA135,"=55655398",GO130:GO135),2)</f>
        <v>0</v>
      </c>
      <c r="CD137" s="3">
        <f>ROUND(SUMIF(AA130:AA135,"=55655398",GP130:GP135),2)</f>
        <v>0</v>
      </c>
      <c r="CE137" s="3">
        <f>AC137-BX137</f>
        <v>88.56</v>
      </c>
      <c r="CF137" s="3">
        <f>AC137-BY137</f>
        <v>88.56</v>
      </c>
      <c r="CG137" s="3">
        <f>BX137-BZ137</f>
        <v>0</v>
      </c>
      <c r="CH137" s="3">
        <f>AC137-BX137-BY137+BZ137</f>
        <v>88.56</v>
      </c>
      <c r="CI137" s="3">
        <f>BY137-BZ137</f>
        <v>0</v>
      </c>
      <c r="CJ137" s="3">
        <f>ROUND(SUMIF(AA130:AA135,"=55655398",GX130:GX135),2)</f>
        <v>0</v>
      </c>
      <c r="CK137" s="3">
        <f>ROUND(SUMIF(AA130:AA135,"=55655398",GY130:GY135),2)</f>
        <v>0</v>
      </c>
      <c r="CL137" s="3">
        <f>ROUND(SUMIF(AA130:AA135,"=55655398",GZ130:GZ135),2)</f>
        <v>0</v>
      </c>
      <c r="CM137" s="3">
        <f>ROUND(SUMIF(AA130:AA135,"=55655398",HD130:HD135),2)</f>
        <v>745.15</v>
      </c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4">
        <f aca="true" t="shared" si="121" ref="DG137:DL137">ROUND(DT137,2)</f>
        <v>2089.24</v>
      </c>
      <c r="DH137" s="4">
        <f t="shared" si="121"/>
        <v>595.12</v>
      </c>
      <c r="DI137" s="4">
        <f t="shared" si="121"/>
        <v>0</v>
      </c>
      <c r="DJ137" s="4">
        <f t="shared" si="121"/>
        <v>0</v>
      </c>
      <c r="DK137" s="4">
        <f t="shared" si="121"/>
        <v>1494.12</v>
      </c>
      <c r="DL137" s="4">
        <f t="shared" si="121"/>
        <v>0</v>
      </c>
      <c r="DM137" s="4">
        <f>DZ137</f>
        <v>5.562</v>
      </c>
      <c r="DN137" s="4">
        <f>EA137</f>
        <v>0</v>
      </c>
      <c r="DO137" s="4">
        <f>ROUND(EB137,2)</f>
        <v>0</v>
      </c>
      <c r="DP137" s="4">
        <f>ROUND(EC137,2)</f>
        <v>1374.59</v>
      </c>
      <c r="DQ137" s="4">
        <f>ROUND(ED137,2)</f>
        <v>657.41</v>
      </c>
      <c r="DR137" s="4"/>
      <c r="DS137" s="4"/>
      <c r="DT137" s="4">
        <f>ROUND(SUMIF(AA130:AA135,"=55655399",O130:O135),2)</f>
        <v>2089.24</v>
      </c>
      <c r="DU137" s="4">
        <f>ROUND(SUMIF(AA130:AA135,"=55655399",P130:P135),2)</f>
        <v>595.12</v>
      </c>
      <c r="DV137" s="4">
        <f>ROUND(SUMIF(AA130:AA135,"=55655399",Q130:Q135),2)</f>
        <v>0</v>
      </c>
      <c r="DW137" s="4">
        <f>ROUND(SUMIF(AA130:AA135,"=55655399",R130:R135),2)</f>
        <v>0</v>
      </c>
      <c r="DX137" s="4">
        <f>ROUND(SUMIF(AA130:AA135,"=55655399",S130:S135),2)</f>
        <v>1494.12</v>
      </c>
      <c r="DY137" s="4">
        <f>ROUND(SUMIF(AA130:AA135,"=55655399",T130:T135),2)</f>
        <v>0</v>
      </c>
      <c r="DZ137" s="4">
        <f>SUMIF(AA130:AA135,"=55655399",U130:U135)</f>
        <v>5.562</v>
      </c>
      <c r="EA137" s="4">
        <f>SUMIF(AA130:AA135,"=55655399",V130:V135)</f>
        <v>0</v>
      </c>
      <c r="EB137" s="4">
        <f>ROUND(SUMIF(AA130:AA135,"=55655399",W130:W135),2)</f>
        <v>0</v>
      </c>
      <c r="EC137" s="4">
        <f>ROUND(SUMIF(AA130:AA135,"=55655399",X130:X135),2)</f>
        <v>1374.59</v>
      </c>
      <c r="ED137" s="4">
        <f>ROUND(SUMIF(AA130:AA135,"=55655399",Y130:Y135),2)</f>
        <v>657.41</v>
      </c>
      <c r="EE137" s="4"/>
      <c r="EF137" s="4"/>
      <c r="EG137" s="4">
        <f aca="true" t="shared" si="122" ref="EG137:EV137">ROUND(FP137,2)</f>
        <v>0</v>
      </c>
      <c r="EH137" s="4">
        <f t="shared" si="122"/>
        <v>0</v>
      </c>
      <c r="EI137" s="4">
        <f t="shared" si="122"/>
        <v>0</v>
      </c>
      <c r="EJ137" s="4">
        <f t="shared" si="122"/>
        <v>13986.99</v>
      </c>
      <c r="EK137" s="4">
        <f t="shared" si="122"/>
        <v>13986.99</v>
      </c>
      <c r="EL137" s="4">
        <f t="shared" si="122"/>
        <v>0</v>
      </c>
      <c r="EM137" s="4">
        <f t="shared" si="122"/>
        <v>0</v>
      </c>
      <c r="EN137" s="4">
        <f t="shared" si="122"/>
        <v>595.12</v>
      </c>
      <c r="EO137" s="4">
        <f t="shared" si="122"/>
        <v>595.12</v>
      </c>
      <c r="EP137" s="4">
        <f t="shared" si="122"/>
        <v>0</v>
      </c>
      <c r="EQ137" s="4">
        <f t="shared" si="122"/>
        <v>595.12</v>
      </c>
      <c r="ER137" s="4">
        <f t="shared" si="122"/>
        <v>0</v>
      </c>
      <c r="ES137" s="4">
        <f t="shared" si="122"/>
        <v>0</v>
      </c>
      <c r="ET137" s="4">
        <f t="shared" si="122"/>
        <v>0</v>
      </c>
      <c r="EU137" s="4">
        <f t="shared" si="122"/>
        <v>0</v>
      </c>
      <c r="EV137" s="4">
        <f t="shared" si="122"/>
        <v>9865.75</v>
      </c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>
        <f>ROUND(SUMIF(AA130:AA135,"=55655399",FQ130:FQ135),2)</f>
        <v>0</v>
      </c>
      <c r="FQ137" s="4">
        <f>ROUND(SUMIF(AA130:AA135,"=55655399",FR130:FR135),2)</f>
        <v>0</v>
      </c>
      <c r="FR137" s="4">
        <f>ROUND(SUMIF(AA130:AA135,"=55655399",GL130:GL135),2)</f>
        <v>0</v>
      </c>
      <c r="FS137" s="4">
        <f>ROUND(SUMIF(AA130:AA135,"=55655399",GM130:GM135),2)</f>
        <v>13986.99</v>
      </c>
      <c r="FT137" s="4">
        <f>ROUND(SUMIF(AA130:AA135,"=55655399",GN130:GN135),2)</f>
        <v>13986.99</v>
      </c>
      <c r="FU137" s="4">
        <f>ROUND(SUMIF(AA130:AA135,"=55655399",GO130:GO135),2)</f>
        <v>0</v>
      </c>
      <c r="FV137" s="4">
        <f>ROUND(SUMIF(AA130:AA135,"=55655399",GP130:GP135),2)</f>
        <v>0</v>
      </c>
      <c r="FW137" s="4">
        <f>DU137-FP137</f>
        <v>595.12</v>
      </c>
      <c r="FX137" s="4">
        <f>DU137-FQ137</f>
        <v>595.12</v>
      </c>
      <c r="FY137" s="4">
        <f>FP137-FR137</f>
        <v>0</v>
      </c>
      <c r="FZ137" s="4">
        <f>DU137-FP137-FQ137+FR137</f>
        <v>595.12</v>
      </c>
      <c r="GA137" s="4">
        <f>FQ137-FR137</f>
        <v>0</v>
      </c>
      <c r="GB137" s="4">
        <f>ROUND(SUMIF(AA130:AA135,"=55655399",GX130:GX135),2)</f>
        <v>0</v>
      </c>
      <c r="GC137" s="4">
        <f>ROUND(SUMIF(AA130:AA135,"=55655399",GY130:GY135),2)</f>
        <v>0</v>
      </c>
      <c r="GD137" s="4">
        <f>ROUND(SUMIF(AA130:AA135,"=55655399",GZ130:GZ135),2)</f>
        <v>0</v>
      </c>
      <c r="GE137" s="4">
        <f>ROUND(SUMIF(AA130:AA135,"=55655399",HD130:HD135),2)</f>
        <v>9865.75</v>
      </c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>
        <v>0</v>
      </c>
    </row>
    <row r="139" spans="1:28" ht="12.75">
      <c r="A139" s="5">
        <v>50</v>
      </c>
      <c r="B139" s="5">
        <v>0</v>
      </c>
      <c r="C139" s="5">
        <v>0</v>
      </c>
      <c r="D139" s="5">
        <v>1</v>
      </c>
      <c r="E139" s="5">
        <v>201</v>
      </c>
      <c r="F139" s="5">
        <f>ROUND(Source!O137,O139)</f>
        <v>128.57</v>
      </c>
      <c r="G139" s="5" t="s">
        <v>58</v>
      </c>
      <c r="H139" s="5" t="s">
        <v>59</v>
      </c>
      <c r="I139" s="5"/>
      <c r="J139" s="5"/>
      <c r="K139" s="5">
        <v>201</v>
      </c>
      <c r="L139" s="5">
        <v>1</v>
      </c>
      <c r="M139" s="5">
        <v>3</v>
      </c>
      <c r="N139" s="5" t="s">
        <v>3</v>
      </c>
      <c r="O139" s="5">
        <v>2</v>
      </c>
      <c r="P139" s="5">
        <f>ROUND(Source!DG137,O139)</f>
        <v>2089.24</v>
      </c>
      <c r="Q139" s="5"/>
      <c r="R139" s="5"/>
      <c r="S139" s="5"/>
      <c r="T139" s="5"/>
      <c r="U139" s="5"/>
      <c r="V139" s="5"/>
      <c r="W139" s="5">
        <v>873.72</v>
      </c>
      <c r="X139" s="5">
        <v>1</v>
      </c>
      <c r="Y139" s="5">
        <v>873.72</v>
      </c>
      <c r="Z139" s="5">
        <v>11954.99</v>
      </c>
      <c r="AA139" s="5">
        <v>1</v>
      </c>
      <c r="AB139" s="5">
        <v>11954.99</v>
      </c>
    </row>
    <row r="140" spans="1:28" ht="12.75">
      <c r="A140" s="5">
        <v>50</v>
      </c>
      <c r="B140" s="5">
        <v>0</v>
      </c>
      <c r="C140" s="5">
        <v>0</v>
      </c>
      <c r="D140" s="5">
        <v>1</v>
      </c>
      <c r="E140" s="5">
        <v>202</v>
      </c>
      <c r="F140" s="5">
        <f>ROUND(Source!P137,O140)</f>
        <v>88.56</v>
      </c>
      <c r="G140" s="5" t="s">
        <v>60</v>
      </c>
      <c r="H140" s="5" t="s">
        <v>61</v>
      </c>
      <c r="I140" s="5"/>
      <c r="J140" s="5"/>
      <c r="K140" s="5">
        <v>202</v>
      </c>
      <c r="L140" s="5">
        <v>2</v>
      </c>
      <c r="M140" s="5">
        <v>3</v>
      </c>
      <c r="N140" s="5" t="s">
        <v>3</v>
      </c>
      <c r="O140" s="5">
        <v>2</v>
      </c>
      <c r="P140" s="5">
        <f>ROUND(Source!DH137,O140)</f>
        <v>595.12</v>
      </c>
      <c r="Q140" s="5"/>
      <c r="R140" s="5"/>
      <c r="S140" s="5"/>
      <c r="T140" s="5"/>
      <c r="U140" s="5"/>
      <c r="V140" s="5"/>
      <c r="W140" s="5">
        <v>88.56</v>
      </c>
      <c r="X140" s="5">
        <v>1</v>
      </c>
      <c r="Y140" s="5">
        <v>88.56</v>
      </c>
      <c r="Z140" s="5">
        <v>595.12</v>
      </c>
      <c r="AA140" s="5">
        <v>1</v>
      </c>
      <c r="AB140" s="5">
        <v>595.12</v>
      </c>
    </row>
    <row r="141" spans="1:28" ht="12.75">
      <c r="A141" s="5">
        <v>50</v>
      </c>
      <c r="B141" s="5">
        <v>0</v>
      </c>
      <c r="C141" s="5">
        <v>0</v>
      </c>
      <c r="D141" s="5">
        <v>1</v>
      </c>
      <c r="E141" s="5">
        <v>222</v>
      </c>
      <c r="F141" s="5">
        <f>ROUND(Source!AO137,O141)</f>
        <v>0</v>
      </c>
      <c r="G141" s="5" t="s">
        <v>62</v>
      </c>
      <c r="H141" s="5" t="s">
        <v>63</v>
      </c>
      <c r="I141" s="5"/>
      <c r="J141" s="5"/>
      <c r="K141" s="5">
        <v>222</v>
      </c>
      <c r="L141" s="5">
        <v>3</v>
      </c>
      <c r="M141" s="5">
        <v>3</v>
      </c>
      <c r="N141" s="5" t="s">
        <v>3</v>
      </c>
      <c r="O141" s="5">
        <v>2</v>
      </c>
      <c r="P141" s="5">
        <f>ROUND(Source!EG137,O141)</f>
        <v>0</v>
      </c>
      <c r="Q141" s="5"/>
      <c r="R141" s="5"/>
      <c r="S141" s="5"/>
      <c r="T141" s="5"/>
      <c r="U141" s="5"/>
      <c r="V141" s="5"/>
      <c r="W141" s="5">
        <v>0</v>
      </c>
      <c r="X141" s="5">
        <v>1</v>
      </c>
      <c r="Y141" s="5">
        <v>0</v>
      </c>
      <c r="Z141" s="5">
        <v>0</v>
      </c>
      <c r="AA141" s="5">
        <v>1</v>
      </c>
      <c r="AB141" s="5">
        <v>0</v>
      </c>
    </row>
    <row r="142" spans="1:28" ht="12.75">
      <c r="A142" s="5">
        <v>50</v>
      </c>
      <c r="B142" s="5">
        <v>0</v>
      </c>
      <c r="C142" s="5">
        <v>0</v>
      </c>
      <c r="D142" s="5">
        <v>1</v>
      </c>
      <c r="E142" s="5">
        <v>225</v>
      </c>
      <c r="F142" s="5">
        <f>ROUND(Source!AV137,O142)</f>
        <v>88.56</v>
      </c>
      <c r="G142" s="5" t="s">
        <v>64</v>
      </c>
      <c r="H142" s="5" t="s">
        <v>65</v>
      </c>
      <c r="I142" s="5"/>
      <c r="J142" s="5"/>
      <c r="K142" s="5">
        <v>225</v>
      </c>
      <c r="L142" s="5">
        <v>4</v>
      </c>
      <c r="M142" s="5">
        <v>3</v>
      </c>
      <c r="N142" s="5" t="s">
        <v>3</v>
      </c>
      <c r="O142" s="5">
        <v>2</v>
      </c>
      <c r="P142" s="5">
        <f>ROUND(Source!EN137,O142)</f>
        <v>595.12</v>
      </c>
      <c r="Q142" s="5"/>
      <c r="R142" s="5"/>
      <c r="S142" s="5"/>
      <c r="T142" s="5"/>
      <c r="U142" s="5"/>
      <c r="V142" s="5"/>
      <c r="W142" s="5">
        <v>88.56</v>
      </c>
      <c r="X142" s="5">
        <v>1</v>
      </c>
      <c r="Y142" s="5">
        <v>88.56</v>
      </c>
      <c r="Z142" s="5">
        <v>595.12</v>
      </c>
      <c r="AA142" s="5">
        <v>1</v>
      </c>
      <c r="AB142" s="5">
        <v>595.12</v>
      </c>
    </row>
    <row r="143" spans="1:28" ht="12.75">
      <c r="A143" s="5">
        <v>50</v>
      </c>
      <c r="B143" s="5">
        <v>0</v>
      </c>
      <c r="C143" s="5">
        <v>0</v>
      </c>
      <c r="D143" s="5">
        <v>1</v>
      </c>
      <c r="E143" s="5">
        <v>226</v>
      </c>
      <c r="F143" s="5">
        <f>ROUND(Source!AW137,O143)</f>
        <v>88.56</v>
      </c>
      <c r="G143" s="5" t="s">
        <v>66</v>
      </c>
      <c r="H143" s="5" t="s">
        <v>67</v>
      </c>
      <c r="I143" s="5"/>
      <c r="J143" s="5"/>
      <c r="K143" s="5">
        <v>226</v>
      </c>
      <c r="L143" s="5">
        <v>5</v>
      </c>
      <c r="M143" s="5">
        <v>3</v>
      </c>
      <c r="N143" s="5" t="s">
        <v>3</v>
      </c>
      <c r="O143" s="5">
        <v>2</v>
      </c>
      <c r="P143" s="5">
        <f>ROUND(Source!EO137,O143)</f>
        <v>595.12</v>
      </c>
      <c r="Q143" s="5"/>
      <c r="R143" s="5"/>
      <c r="S143" s="5"/>
      <c r="T143" s="5"/>
      <c r="U143" s="5"/>
      <c r="V143" s="5"/>
      <c r="W143" s="5">
        <v>88.56</v>
      </c>
      <c r="X143" s="5">
        <v>1</v>
      </c>
      <c r="Y143" s="5">
        <v>88.56</v>
      </c>
      <c r="Z143" s="5">
        <v>595.12</v>
      </c>
      <c r="AA143" s="5">
        <v>1</v>
      </c>
      <c r="AB143" s="5">
        <v>595.12</v>
      </c>
    </row>
    <row r="144" spans="1:28" ht="12.75">
      <c r="A144" s="5">
        <v>50</v>
      </c>
      <c r="B144" s="5">
        <v>0</v>
      </c>
      <c r="C144" s="5">
        <v>0</v>
      </c>
      <c r="D144" s="5">
        <v>1</v>
      </c>
      <c r="E144" s="5">
        <v>227</v>
      </c>
      <c r="F144" s="5">
        <f>ROUND(Source!AX137,O144)</f>
        <v>0</v>
      </c>
      <c r="G144" s="5" t="s">
        <v>68</v>
      </c>
      <c r="H144" s="5" t="s">
        <v>69</v>
      </c>
      <c r="I144" s="5"/>
      <c r="J144" s="5"/>
      <c r="K144" s="5">
        <v>227</v>
      </c>
      <c r="L144" s="5">
        <v>6</v>
      </c>
      <c r="M144" s="5">
        <v>3</v>
      </c>
      <c r="N144" s="5" t="s">
        <v>3</v>
      </c>
      <c r="O144" s="5">
        <v>2</v>
      </c>
      <c r="P144" s="5">
        <f>ROUND(Source!EP137,O144)</f>
        <v>0</v>
      </c>
      <c r="Q144" s="5"/>
      <c r="R144" s="5"/>
      <c r="S144" s="5"/>
      <c r="T144" s="5"/>
      <c r="U144" s="5"/>
      <c r="V144" s="5"/>
      <c r="W144" s="5">
        <v>0</v>
      </c>
      <c r="X144" s="5">
        <v>1</v>
      </c>
      <c r="Y144" s="5">
        <v>0</v>
      </c>
      <c r="Z144" s="5">
        <v>0</v>
      </c>
      <c r="AA144" s="5">
        <v>1</v>
      </c>
      <c r="AB144" s="5">
        <v>0</v>
      </c>
    </row>
    <row r="145" spans="1:28" ht="12.75">
      <c r="A145" s="5">
        <v>50</v>
      </c>
      <c r="B145" s="5">
        <v>0</v>
      </c>
      <c r="C145" s="5">
        <v>0</v>
      </c>
      <c r="D145" s="5">
        <v>1</v>
      </c>
      <c r="E145" s="5">
        <v>228</v>
      </c>
      <c r="F145" s="5">
        <f>ROUND(Source!AY137,O145)</f>
        <v>88.56</v>
      </c>
      <c r="G145" s="5" t="s">
        <v>70</v>
      </c>
      <c r="H145" s="5" t="s">
        <v>71</v>
      </c>
      <c r="I145" s="5"/>
      <c r="J145" s="5"/>
      <c r="K145" s="5">
        <v>228</v>
      </c>
      <c r="L145" s="5">
        <v>7</v>
      </c>
      <c r="M145" s="5">
        <v>3</v>
      </c>
      <c r="N145" s="5" t="s">
        <v>3</v>
      </c>
      <c r="O145" s="5">
        <v>2</v>
      </c>
      <c r="P145" s="5">
        <f>ROUND(Source!EQ137,O145)</f>
        <v>595.12</v>
      </c>
      <c r="Q145" s="5"/>
      <c r="R145" s="5"/>
      <c r="S145" s="5"/>
      <c r="T145" s="5"/>
      <c r="U145" s="5"/>
      <c r="V145" s="5"/>
      <c r="W145" s="5">
        <v>88.56</v>
      </c>
      <c r="X145" s="5">
        <v>1</v>
      </c>
      <c r="Y145" s="5">
        <v>88.56</v>
      </c>
      <c r="Z145" s="5">
        <v>595.12</v>
      </c>
      <c r="AA145" s="5">
        <v>1</v>
      </c>
      <c r="AB145" s="5">
        <v>595.12</v>
      </c>
    </row>
    <row r="146" spans="1:28" ht="12.75">
      <c r="A146" s="5">
        <v>50</v>
      </c>
      <c r="B146" s="5">
        <v>0</v>
      </c>
      <c r="C146" s="5">
        <v>0</v>
      </c>
      <c r="D146" s="5">
        <v>1</v>
      </c>
      <c r="E146" s="5">
        <v>216</v>
      </c>
      <c r="F146" s="5">
        <f>ROUND(Source!AP137,O146)</f>
        <v>0</v>
      </c>
      <c r="G146" s="5" t="s">
        <v>72</v>
      </c>
      <c r="H146" s="5" t="s">
        <v>73</v>
      </c>
      <c r="I146" s="5"/>
      <c r="J146" s="5"/>
      <c r="K146" s="5">
        <v>216</v>
      </c>
      <c r="L146" s="5">
        <v>8</v>
      </c>
      <c r="M146" s="5">
        <v>3</v>
      </c>
      <c r="N146" s="5" t="s">
        <v>3</v>
      </c>
      <c r="O146" s="5">
        <v>2</v>
      </c>
      <c r="P146" s="5">
        <f>ROUND(Source!EH137,O146)</f>
        <v>0</v>
      </c>
      <c r="Q146" s="5"/>
      <c r="R146" s="5"/>
      <c r="S146" s="5"/>
      <c r="T146" s="5"/>
      <c r="U146" s="5"/>
      <c r="V146" s="5"/>
      <c r="W146" s="5">
        <v>0</v>
      </c>
      <c r="X146" s="5">
        <v>1</v>
      </c>
      <c r="Y146" s="5">
        <v>0</v>
      </c>
      <c r="Z146" s="5">
        <v>0</v>
      </c>
      <c r="AA146" s="5">
        <v>1</v>
      </c>
      <c r="AB146" s="5">
        <v>0</v>
      </c>
    </row>
    <row r="147" spans="1:28" ht="12.75">
      <c r="A147" s="5">
        <v>50</v>
      </c>
      <c r="B147" s="5">
        <v>0</v>
      </c>
      <c r="C147" s="5">
        <v>0</v>
      </c>
      <c r="D147" s="5">
        <v>1</v>
      </c>
      <c r="E147" s="5">
        <v>223</v>
      </c>
      <c r="F147" s="5">
        <f>ROUND(Source!AQ137,O147)</f>
        <v>0</v>
      </c>
      <c r="G147" s="5" t="s">
        <v>74</v>
      </c>
      <c r="H147" s="5" t="s">
        <v>75</v>
      </c>
      <c r="I147" s="5"/>
      <c r="J147" s="5"/>
      <c r="K147" s="5">
        <v>223</v>
      </c>
      <c r="L147" s="5">
        <v>9</v>
      </c>
      <c r="M147" s="5">
        <v>3</v>
      </c>
      <c r="N147" s="5" t="s">
        <v>3</v>
      </c>
      <c r="O147" s="5">
        <v>2</v>
      </c>
      <c r="P147" s="5">
        <f>ROUND(Source!EI137,O147)</f>
        <v>0</v>
      </c>
      <c r="Q147" s="5"/>
      <c r="R147" s="5"/>
      <c r="S147" s="5"/>
      <c r="T147" s="5"/>
      <c r="U147" s="5"/>
      <c r="V147" s="5"/>
      <c r="W147" s="5">
        <v>0</v>
      </c>
      <c r="X147" s="5">
        <v>1</v>
      </c>
      <c r="Y147" s="5">
        <v>0</v>
      </c>
      <c r="Z147" s="5">
        <v>0</v>
      </c>
      <c r="AA147" s="5">
        <v>1</v>
      </c>
      <c r="AB147" s="5">
        <v>0</v>
      </c>
    </row>
    <row r="148" spans="1:28" ht="12.75">
      <c r="A148" s="5">
        <v>50</v>
      </c>
      <c r="B148" s="5">
        <v>0</v>
      </c>
      <c r="C148" s="5">
        <v>0</v>
      </c>
      <c r="D148" s="5">
        <v>1</v>
      </c>
      <c r="E148" s="5">
        <v>229</v>
      </c>
      <c r="F148" s="5">
        <f>ROUND(Source!AZ137,O148)</f>
        <v>0</v>
      </c>
      <c r="G148" s="5" t="s">
        <v>76</v>
      </c>
      <c r="H148" s="5" t="s">
        <v>77</v>
      </c>
      <c r="I148" s="5"/>
      <c r="J148" s="5"/>
      <c r="K148" s="5">
        <v>229</v>
      </c>
      <c r="L148" s="5">
        <v>10</v>
      </c>
      <c r="M148" s="5">
        <v>3</v>
      </c>
      <c r="N148" s="5" t="s">
        <v>3</v>
      </c>
      <c r="O148" s="5">
        <v>2</v>
      </c>
      <c r="P148" s="5">
        <f>ROUND(Source!ER137,O148)</f>
        <v>0</v>
      </c>
      <c r="Q148" s="5"/>
      <c r="R148" s="5"/>
      <c r="S148" s="5"/>
      <c r="T148" s="5"/>
      <c r="U148" s="5"/>
      <c r="V148" s="5"/>
      <c r="W148" s="5">
        <v>0</v>
      </c>
      <c r="X148" s="5">
        <v>1</v>
      </c>
      <c r="Y148" s="5">
        <v>0</v>
      </c>
      <c r="Z148" s="5">
        <v>0</v>
      </c>
      <c r="AA148" s="5">
        <v>1</v>
      </c>
      <c r="AB148" s="5">
        <v>0</v>
      </c>
    </row>
    <row r="149" spans="1:28" ht="12.75">
      <c r="A149" s="5">
        <v>50</v>
      </c>
      <c r="B149" s="5">
        <v>0</v>
      </c>
      <c r="C149" s="5">
        <v>0</v>
      </c>
      <c r="D149" s="5">
        <v>1</v>
      </c>
      <c r="E149" s="5">
        <v>203</v>
      </c>
      <c r="F149" s="5">
        <f>ROUND(Source!Q137,O149)</f>
        <v>0</v>
      </c>
      <c r="G149" s="5" t="s">
        <v>78</v>
      </c>
      <c r="H149" s="5" t="s">
        <v>79</v>
      </c>
      <c r="I149" s="5"/>
      <c r="J149" s="5"/>
      <c r="K149" s="5">
        <v>203</v>
      </c>
      <c r="L149" s="5">
        <v>11</v>
      </c>
      <c r="M149" s="5">
        <v>3</v>
      </c>
      <c r="N149" s="5" t="s">
        <v>3</v>
      </c>
      <c r="O149" s="5">
        <v>2</v>
      </c>
      <c r="P149" s="5">
        <f>ROUND(Source!DI137,O149)</f>
        <v>0</v>
      </c>
      <c r="Q149" s="5"/>
      <c r="R149" s="5"/>
      <c r="S149" s="5"/>
      <c r="T149" s="5"/>
      <c r="U149" s="5"/>
      <c r="V149" s="5"/>
      <c r="W149" s="5">
        <v>0</v>
      </c>
      <c r="X149" s="5">
        <v>1</v>
      </c>
      <c r="Y149" s="5">
        <v>0</v>
      </c>
      <c r="Z149" s="5">
        <v>0</v>
      </c>
      <c r="AA149" s="5">
        <v>1</v>
      </c>
      <c r="AB149" s="5">
        <v>0</v>
      </c>
    </row>
    <row r="150" spans="1:28" ht="12.75">
      <c r="A150" s="5">
        <v>50</v>
      </c>
      <c r="B150" s="5">
        <v>0</v>
      </c>
      <c r="C150" s="5">
        <v>0</v>
      </c>
      <c r="D150" s="5">
        <v>1</v>
      </c>
      <c r="E150" s="5">
        <v>231</v>
      </c>
      <c r="F150" s="5">
        <f>ROUND(Source!BB137,O150)</f>
        <v>0</v>
      </c>
      <c r="G150" s="5" t="s">
        <v>80</v>
      </c>
      <c r="H150" s="5" t="s">
        <v>81</v>
      </c>
      <c r="I150" s="5"/>
      <c r="J150" s="5"/>
      <c r="K150" s="5">
        <v>231</v>
      </c>
      <c r="L150" s="5">
        <v>12</v>
      </c>
      <c r="M150" s="5">
        <v>3</v>
      </c>
      <c r="N150" s="5" t="s">
        <v>3</v>
      </c>
      <c r="O150" s="5">
        <v>2</v>
      </c>
      <c r="P150" s="5">
        <f>ROUND(Source!ET137,O150)</f>
        <v>0</v>
      </c>
      <c r="Q150" s="5"/>
      <c r="R150" s="5"/>
      <c r="S150" s="5"/>
      <c r="T150" s="5"/>
      <c r="U150" s="5"/>
      <c r="V150" s="5"/>
      <c r="W150" s="5">
        <v>0</v>
      </c>
      <c r="X150" s="5">
        <v>1</v>
      </c>
      <c r="Y150" s="5">
        <v>0</v>
      </c>
      <c r="Z150" s="5">
        <v>0</v>
      </c>
      <c r="AA150" s="5">
        <v>1</v>
      </c>
      <c r="AB150" s="5">
        <v>0</v>
      </c>
    </row>
    <row r="151" spans="1:28" ht="12.75">
      <c r="A151" s="5">
        <v>50</v>
      </c>
      <c r="B151" s="5">
        <v>0</v>
      </c>
      <c r="C151" s="5">
        <v>0</v>
      </c>
      <c r="D151" s="5">
        <v>1</v>
      </c>
      <c r="E151" s="5">
        <v>204</v>
      </c>
      <c r="F151" s="5">
        <f>ROUND(Source!R137,O151)</f>
        <v>0</v>
      </c>
      <c r="G151" s="5" t="s">
        <v>82</v>
      </c>
      <c r="H151" s="5" t="s">
        <v>83</v>
      </c>
      <c r="I151" s="5"/>
      <c r="J151" s="5"/>
      <c r="K151" s="5">
        <v>204</v>
      </c>
      <c r="L151" s="5">
        <v>13</v>
      </c>
      <c r="M151" s="5">
        <v>3</v>
      </c>
      <c r="N151" s="5" t="s">
        <v>3</v>
      </c>
      <c r="O151" s="5">
        <v>2</v>
      </c>
      <c r="P151" s="5">
        <f>ROUND(Source!DJ137,O151)</f>
        <v>0</v>
      </c>
      <c r="Q151" s="5"/>
      <c r="R151" s="5"/>
      <c r="S151" s="5"/>
      <c r="T151" s="5"/>
      <c r="U151" s="5"/>
      <c r="V151" s="5"/>
      <c r="W151" s="5">
        <v>0</v>
      </c>
      <c r="X151" s="5">
        <v>1</v>
      </c>
      <c r="Y151" s="5">
        <v>0</v>
      </c>
      <c r="Z151" s="5">
        <v>0</v>
      </c>
      <c r="AA151" s="5">
        <v>1</v>
      </c>
      <c r="AB151" s="5">
        <v>0</v>
      </c>
    </row>
    <row r="152" spans="1:28" ht="12.75">
      <c r="A152" s="5">
        <v>50</v>
      </c>
      <c r="B152" s="5">
        <v>0</v>
      </c>
      <c r="C152" s="5">
        <v>0</v>
      </c>
      <c r="D152" s="5">
        <v>1</v>
      </c>
      <c r="E152" s="5">
        <v>205</v>
      </c>
      <c r="F152" s="5">
        <f>ROUND(Source!S137,O152)</f>
        <v>40.01</v>
      </c>
      <c r="G152" s="5" t="s">
        <v>84</v>
      </c>
      <c r="H152" s="5" t="s">
        <v>85</v>
      </c>
      <c r="I152" s="5"/>
      <c r="J152" s="5"/>
      <c r="K152" s="5">
        <v>205</v>
      </c>
      <c r="L152" s="5">
        <v>14</v>
      </c>
      <c r="M152" s="5">
        <v>3</v>
      </c>
      <c r="N152" s="5" t="s">
        <v>3</v>
      </c>
      <c r="O152" s="5">
        <v>2</v>
      </c>
      <c r="P152" s="5">
        <f>ROUND(Source!DK137,O152)</f>
        <v>1494.12</v>
      </c>
      <c r="Q152" s="5"/>
      <c r="R152" s="5"/>
      <c r="S152" s="5"/>
      <c r="T152" s="5"/>
      <c r="U152" s="5"/>
      <c r="V152" s="5"/>
      <c r="W152" s="5">
        <v>40.01</v>
      </c>
      <c r="X152" s="5">
        <v>1</v>
      </c>
      <c r="Y152" s="5">
        <v>40.01</v>
      </c>
      <c r="Z152" s="5">
        <v>1494.12</v>
      </c>
      <c r="AA152" s="5">
        <v>1</v>
      </c>
      <c r="AB152" s="5">
        <v>1494.12</v>
      </c>
    </row>
    <row r="153" spans="1:28" ht="12.75">
      <c r="A153" s="5">
        <v>50</v>
      </c>
      <c r="B153" s="5">
        <v>0</v>
      </c>
      <c r="C153" s="5">
        <v>0</v>
      </c>
      <c r="D153" s="5">
        <v>1</v>
      </c>
      <c r="E153" s="5">
        <v>232</v>
      </c>
      <c r="F153" s="5">
        <f>ROUND(Source!BC137,O153)</f>
        <v>0</v>
      </c>
      <c r="G153" s="5" t="s">
        <v>86</v>
      </c>
      <c r="H153" s="5" t="s">
        <v>87</v>
      </c>
      <c r="I153" s="5"/>
      <c r="J153" s="5"/>
      <c r="K153" s="5">
        <v>232</v>
      </c>
      <c r="L153" s="5">
        <v>15</v>
      </c>
      <c r="M153" s="5">
        <v>3</v>
      </c>
      <c r="N153" s="5" t="s">
        <v>3</v>
      </c>
      <c r="O153" s="5">
        <v>2</v>
      </c>
      <c r="P153" s="5">
        <f>ROUND(Source!EU137,O153)</f>
        <v>0</v>
      </c>
      <c r="Q153" s="5"/>
      <c r="R153" s="5"/>
      <c r="S153" s="5"/>
      <c r="T153" s="5"/>
      <c r="U153" s="5"/>
      <c r="V153" s="5"/>
      <c r="W153" s="5">
        <v>0</v>
      </c>
      <c r="X153" s="5">
        <v>1</v>
      </c>
      <c r="Y153" s="5">
        <v>0</v>
      </c>
      <c r="Z153" s="5">
        <v>0</v>
      </c>
      <c r="AA153" s="5">
        <v>1</v>
      </c>
      <c r="AB153" s="5">
        <v>0</v>
      </c>
    </row>
    <row r="154" spans="1:28" ht="12.75">
      <c r="A154" s="5">
        <v>50</v>
      </c>
      <c r="B154" s="5">
        <v>0</v>
      </c>
      <c r="C154" s="5">
        <v>0</v>
      </c>
      <c r="D154" s="5">
        <v>1</v>
      </c>
      <c r="E154" s="5">
        <v>214</v>
      </c>
      <c r="F154" s="5">
        <f>ROUND(Source!AS137,O154)</f>
        <v>928.13</v>
      </c>
      <c r="G154" s="5" t="s">
        <v>88</v>
      </c>
      <c r="H154" s="5" t="s">
        <v>89</v>
      </c>
      <c r="I154" s="5"/>
      <c r="J154" s="5"/>
      <c r="K154" s="5">
        <v>214</v>
      </c>
      <c r="L154" s="5">
        <v>16</v>
      </c>
      <c r="M154" s="5">
        <v>3</v>
      </c>
      <c r="N154" s="5" t="s">
        <v>3</v>
      </c>
      <c r="O154" s="5">
        <v>2</v>
      </c>
      <c r="P154" s="5">
        <f>ROUND(Source!EK137,O154)</f>
        <v>13986.99</v>
      </c>
      <c r="Q154" s="5"/>
      <c r="R154" s="5"/>
      <c r="S154" s="5"/>
      <c r="T154" s="5"/>
      <c r="U154" s="5"/>
      <c r="V154" s="5"/>
      <c r="W154" s="5">
        <v>928.13</v>
      </c>
      <c r="X154" s="5">
        <v>1</v>
      </c>
      <c r="Y154" s="5">
        <v>928.13</v>
      </c>
      <c r="Z154" s="5">
        <v>13986.99</v>
      </c>
      <c r="AA154" s="5">
        <v>1</v>
      </c>
      <c r="AB154" s="5">
        <v>13986.99</v>
      </c>
    </row>
    <row r="155" spans="1:28" ht="12.75">
      <c r="A155" s="5">
        <v>50</v>
      </c>
      <c r="B155" s="5">
        <v>0</v>
      </c>
      <c r="C155" s="5">
        <v>0</v>
      </c>
      <c r="D155" s="5">
        <v>1</v>
      </c>
      <c r="E155" s="5">
        <v>215</v>
      </c>
      <c r="F155" s="5">
        <f>ROUND(Source!AT137,O155)</f>
        <v>0</v>
      </c>
      <c r="G155" s="5" t="s">
        <v>90</v>
      </c>
      <c r="H155" s="5" t="s">
        <v>91</v>
      </c>
      <c r="I155" s="5"/>
      <c r="J155" s="5"/>
      <c r="K155" s="5">
        <v>215</v>
      </c>
      <c r="L155" s="5">
        <v>17</v>
      </c>
      <c r="M155" s="5">
        <v>3</v>
      </c>
      <c r="N155" s="5" t="s">
        <v>3</v>
      </c>
      <c r="O155" s="5">
        <v>2</v>
      </c>
      <c r="P155" s="5">
        <f>ROUND(Source!EL137,O155)</f>
        <v>0</v>
      </c>
      <c r="Q155" s="5"/>
      <c r="R155" s="5"/>
      <c r="S155" s="5"/>
      <c r="T155" s="5"/>
      <c r="U155" s="5"/>
      <c r="V155" s="5"/>
      <c r="W155" s="5">
        <v>0</v>
      </c>
      <c r="X155" s="5">
        <v>1</v>
      </c>
      <c r="Y155" s="5">
        <v>0</v>
      </c>
      <c r="Z155" s="5">
        <v>0</v>
      </c>
      <c r="AA155" s="5">
        <v>1</v>
      </c>
      <c r="AB155" s="5">
        <v>0</v>
      </c>
    </row>
    <row r="156" spans="1:28" ht="12.75">
      <c r="A156" s="5">
        <v>50</v>
      </c>
      <c r="B156" s="5">
        <v>0</v>
      </c>
      <c r="C156" s="5">
        <v>0</v>
      </c>
      <c r="D156" s="5">
        <v>1</v>
      </c>
      <c r="E156" s="5">
        <v>217</v>
      </c>
      <c r="F156" s="5">
        <f>ROUND(Source!AU137,O156)</f>
        <v>0</v>
      </c>
      <c r="G156" s="5" t="s">
        <v>92</v>
      </c>
      <c r="H156" s="5" t="s">
        <v>93</v>
      </c>
      <c r="I156" s="5"/>
      <c r="J156" s="5"/>
      <c r="K156" s="5">
        <v>217</v>
      </c>
      <c r="L156" s="5">
        <v>18</v>
      </c>
      <c r="M156" s="5">
        <v>3</v>
      </c>
      <c r="N156" s="5" t="s">
        <v>3</v>
      </c>
      <c r="O156" s="5">
        <v>2</v>
      </c>
      <c r="P156" s="5">
        <f>ROUND(Source!EM137,O156)</f>
        <v>0</v>
      </c>
      <c r="Q156" s="5"/>
      <c r="R156" s="5"/>
      <c r="S156" s="5"/>
      <c r="T156" s="5"/>
      <c r="U156" s="5"/>
      <c r="V156" s="5"/>
      <c r="W156" s="5">
        <v>0</v>
      </c>
      <c r="X156" s="5">
        <v>1</v>
      </c>
      <c r="Y156" s="5">
        <v>0</v>
      </c>
      <c r="Z156" s="5">
        <v>0</v>
      </c>
      <c r="AA156" s="5">
        <v>1</v>
      </c>
      <c r="AB156" s="5">
        <v>0</v>
      </c>
    </row>
    <row r="157" spans="1:28" ht="12.75">
      <c r="A157" s="5">
        <v>50</v>
      </c>
      <c r="B157" s="5">
        <v>0</v>
      </c>
      <c r="C157" s="5">
        <v>0</v>
      </c>
      <c r="D157" s="5">
        <v>1</v>
      </c>
      <c r="E157" s="5">
        <v>230</v>
      </c>
      <c r="F157" s="5">
        <f>ROUND(Source!BA137,O157)</f>
        <v>0</v>
      </c>
      <c r="G157" s="5" t="s">
        <v>94</v>
      </c>
      <c r="H157" s="5" t="s">
        <v>95</v>
      </c>
      <c r="I157" s="5"/>
      <c r="J157" s="5"/>
      <c r="K157" s="5">
        <v>230</v>
      </c>
      <c r="L157" s="5">
        <v>19</v>
      </c>
      <c r="M157" s="5">
        <v>3</v>
      </c>
      <c r="N157" s="5" t="s">
        <v>3</v>
      </c>
      <c r="O157" s="5">
        <v>2</v>
      </c>
      <c r="P157" s="5">
        <f>ROUND(Source!ES137,O157)</f>
        <v>0</v>
      </c>
      <c r="Q157" s="5"/>
      <c r="R157" s="5"/>
      <c r="S157" s="5"/>
      <c r="T157" s="5"/>
      <c r="U157" s="5"/>
      <c r="V157" s="5"/>
      <c r="W157" s="5">
        <v>0</v>
      </c>
      <c r="X157" s="5">
        <v>1</v>
      </c>
      <c r="Y157" s="5">
        <v>0</v>
      </c>
      <c r="Z157" s="5">
        <v>0</v>
      </c>
      <c r="AA157" s="5">
        <v>1</v>
      </c>
      <c r="AB157" s="5">
        <v>0</v>
      </c>
    </row>
    <row r="158" spans="1:28" ht="12.75">
      <c r="A158" s="5">
        <v>50</v>
      </c>
      <c r="B158" s="5">
        <v>0</v>
      </c>
      <c r="C158" s="5">
        <v>0</v>
      </c>
      <c r="D158" s="5">
        <v>1</v>
      </c>
      <c r="E158" s="5">
        <v>206</v>
      </c>
      <c r="F158" s="5">
        <f>ROUND(Source!T137,O158)</f>
        <v>0</v>
      </c>
      <c r="G158" s="5" t="s">
        <v>96</v>
      </c>
      <c r="H158" s="5" t="s">
        <v>97</v>
      </c>
      <c r="I158" s="5"/>
      <c r="J158" s="5"/>
      <c r="K158" s="5">
        <v>206</v>
      </c>
      <c r="L158" s="5">
        <v>20</v>
      </c>
      <c r="M158" s="5">
        <v>3</v>
      </c>
      <c r="N158" s="5" t="s">
        <v>3</v>
      </c>
      <c r="O158" s="5">
        <v>2</v>
      </c>
      <c r="P158" s="5">
        <f>ROUND(Source!DL137,O158)</f>
        <v>0</v>
      </c>
      <c r="Q158" s="5"/>
      <c r="R158" s="5"/>
      <c r="S158" s="5"/>
      <c r="T158" s="5"/>
      <c r="U158" s="5"/>
      <c r="V158" s="5"/>
      <c r="W158" s="5">
        <v>0</v>
      </c>
      <c r="X158" s="5">
        <v>1</v>
      </c>
      <c r="Y158" s="5">
        <v>0</v>
      </c>
      <c r="Z158" s="5">
        <v>0</v>
      </c>
      <c r="AA158" s="5">
        <v>1</v>
      </c>
      <c r="AB158" s="5">
        <v>0</v>
      </c>
    </row>
    <row r="159" spans="1:28" ht="12.75">
      <c r="A159" s="5">
        <v>50</v>
      </c>
      <c r="B159" s="5">
        <v>0</v>
      </c>
      <c r="C159" s="5">
        <v>0</v>
      </c>
      <c r="D159" s="5">
        <v>1</v>
      </c>
      <c r="E159" s="5">
        <v>207</v>
      </c>
      <c r="F159" s="5">
        <f>Source!U137</f>
        <v>5.562</v>
      </c>
      <c r="G159" s="5" t="s">
        <v>98</v>
      </c>
      <c r="H159" s="5" t="s">
        <v>99</v>
      </c>
      <c r="I159" s="5"/>
      <c r="J159" s="5"/>
      <c r="K159" s="5">
        <v>207</v>
      </c>
      <c r="L159" s="5">
        <v>21</v>
      </c>
      <c r="M159" s="5">
        <v>3</v>
      </c>
      <c r="N159" s="5" t="s">
        <v>3</v>
      </c>
      <c r="O159" s="5">
        <v>-1</v>
      </c>
      <c r="P159" s="5">
        <f>Source!DM137</f>
        <v>5.562</v>
      </c>
      <c r="Q159" s="5"/>
      <c r="R159" s="5"/>
      <c r="S159" s="5"/>
      <c r="T159" s="5"/>
      <c r="U159" s="5"/>
      <c r="V159" s="5"/>
      <c r="W159" s="5">
        <v>5.562</v>
      </c>
      <c r="X159" s="5">
        <v>1</v>
      </c>
      <c r="Y159" s="5">
        <v>5.562</v>
      </c>
      <c r="Z159" s="5">
        <v>5.562</v>
      </c>
      <c r="AA159" s="5">
        <v>1</v>
      </c>
      <c r="AB159" s="5">
        <v>5.562</v>
      </c>
    </row>
    <row r="160" spans="1:28" ht="12.75">
      <c r="A160" s="5">
        <v>50</v>
      </c>
      <c r="B160" s="5">
        <v>0</v>
      </c>
      <c r="C160" s="5">
        <v>0</v>
      </c>
      <c r="D160" s="5">
        <v>1</v>
      </c>
      <c r="E160" s="5">
        <v>208</v>
      </c>
      <c r="F160" s="5">
        <f>Source!V137</f>
        <v>0</v>
      </c>
      <c r="G160" s="5" t="s">
        <v>100</v>
      </c>
      <c r="H160" s="5" t="s">
        <v>101</v>
      </c>
      <c r="I160" s="5"/>
      <c r="J160" s="5"/>
      <c r="K160" s="5">
        <v>208</v>
      </c>
      <c r="L160" s="5">
        <v>22</v>
      </c>
      <c r="M160" s="5">
        <v>3</v>
      </c>
      <c r="N160" s="5" t="s">
        <v>3</v>
      </c>
      <c r="O160" s="5">
        <v>-1</v>
      </c>
      <c r="P160" s="5">
        <f>Source!DN137</f>
        <v>0</v>
      </c>
      <c r="Q160" s="5"/>
      <c r="R160" s="5"/>
      <c r="S160" s="5"/>
      <c r="T160" s="5"/>
      <c r="U160" s="5"/>
      <c r="V160" s="5"/>
      <c r="W160" s="5">
        <v>0</v>
      </c>
      <c r="X160" s="5">
        <v>1</v>
      </c>
      <c r="Y160" s="5">
        <v>0</v>
      </c>
      <c r="Z160" s="5">
        <v>0</v>
      </c>
      <c r="AA160" s="5">
        <v>1</v>
      </c>
      <c r="AB160" s="5">
        <v>0</v>
      </c>
    </row>
    <row r="161" spans="1:28" ht="12.75">
      <c r="A161" s="5">
        <v>50</v>
      </c>
      <c r="B161" s="5">
        <v>0</v>
      </c>
      <c r="C161" s="5">
        <v>0</v>
      </c>
      <c r="D161" s="5">
        <v>1</v>
      </c>
      <c r="E161" s="5">
        <v>209</v>
      </c>
      <c r="F161" s="5">
        <f>ROUND(Source!W137,O161)</f>
        <v>0</v>
      </c>
      <c r="G161" s="5" t="s">
        <v>102</v>
      </c>
      <c r="H161" s="5" t="s">
        <v>103</v>
      </c>
      <c r="I161" s="5"/>
      <c r="J161" s="5"/>
      <c r="K161" s="5">
        <v>209</v>
      </c>
      <c r="L161" s="5">
        <v>23</v>
      </c>
      <c r="M161" s="5">
        <v>3</v>
      </c>
      <c r="N161" s="5" t="s">
        <v>3</v>
      </c>
      <c r="O161" s="5">
        <v>2</v>
      </c>
      <c r="P161" s="5">
        <f>ROUND(Source!DO137,O161)</f>
        <v>0</v>
      </c>
      <c r="Q161" s="5"/>
      <c r="R161" s="5"/>
      <c r="S161" s="5"/>
      <c r="T161" s="5"/>
      <c r="U161" s="5"/>
      <c r="V161" s="5"/>
      <c r="W161" s="5">
        <v>0</v>
      </c>
      <c r="X161" s="5">
        <v>1</v>
      </c>
      <c r="Y161" s="5">
        <v>0</v>
      </c>
      <c r="Z161" s="5">
        <v>0</v>
      </c>
      <c r="AA161" s="5">
        <v>1</v>
      </c>
      <c r="AB161" s="5">
        <v>0</v>
      </c>
    </row>
    <row r="162" spans="1:28" ht="12.75">
      <c r="A162" s="5">
        <v>50</v>
      </c>
      <c r="B162" s="5">
        <v>0</v>
      </c>
      <c r="C162" s="5">
        <v>0</v>
      </c>
      <c r="D162" s="5">
        <v>1</v>
      </c>
      <c r="E162" s="5">
        <v>233</v>
      </c>
      <c r="F162" s="5">
        <f>ROUND(Source!BD137,O162)</f>
        <v>745.15</v>
      </c>
      <c r="G162" s="5" t="s">
        <v>104</v>
      </c>
      <c r="H162" s="5" t="s">
        <v>105</v>
      </c>
      <c r="I162" s="5"/>
      <c r="J162" s="5"/>
      <c r="K162" s="5">
        <v>233</v>
      </c>
      <c r="L162" s="5">
        <v>24</v>
      </c>
      <c r="M162" s="5">
        <v>3</v>
      </c>
      <c r="N162" s="5" t="s">
        <v>3</v>
      </c>
      <c r="O162" s="5">
        <v>2</v>
      </c>
      <c r="P162" s="5">
        <f>ROUND(Source!EV137,O162)</f>
        <v>9865.75</v>
      </c>
      <c r="Q162" s="5"/>
      <c r="R162" s="5"/>
      <c r="S162" s="5"/>
      <c r="T162" s="5"/>
      <c r="U162" s="5"/>
      <c r="V162" s="5"/>
      <c r="W162" s="5">
        <v>745.15</v>
      </c>
      <c r="X162" s="5">
        <v>1</v>
      </c>
      <c r="Y162" s="5">
        <v>745.15</v>
      </c>
      <c r="Z162" s="5">
        <v>9865.75</v>
      </c>
      <c r="AA162" s="5">
        <v>1</v>
      </c>
      <c r="AB162" s="5">
        <v>9865.75</v>
      </c>
    </row>
    <row r="163" spans="1:28" ht="12.75">
      <c r="A163" s="5">
        <v>50</v>
      </c>
      <c r="B163" s="5">
        <v>0</v>
      </c>
      <c r="C163" s="5">
        <v>0</v>
      </c>
      <c r="D163" s="5">
        <v>1</v>
      </c>
      <c r="E163" s="5">
        <v>210</v>
      </c>
      <c r="F163" s="5">
        <f>ROUND(Source!X137,O163)</f>
        <v>36.81</v>
      </c>
      <c r="G163" s="5" t="s">
        <v>106</v>
      </c>
      <c r="H163" s="5" t="s">
        <v>107</v>
      </c>
      <c r="I163" s="5"/>
      <c r="J163" s="5"/>
      <c r="K163" s="5">
        <v>210</v>
      </c>
      <c r="L163" s="5">
        <v>25</v>
      </c>
      <c r="M163" s="5">
        <v>3</v>
      </c>
      <c r="N163" s="5" t="s">
        <v>3</v>
      </c>
      <c r="O163" s="5">
        <v>2</v>
      </c>
      <c r="P163" s="5">
        <f>ROUND(Source!DP137,O163)</f>
        <v>1374.59</v>
      </c>
      <c r="Q163" s="5"/>
      <c r="R163" s="5"/>
      <c r="S163" s="5"/>
      <c r="T163" s="5"/>
      <c r="U163" s="5"/>
      <c r="V163" s="5"/>
      <c r="W163" s="5">
        <v>36.81</v>
      </c>
      <c r="X163" s="5">
        <v>1</v>
      </c>
      <c r="Y163" s="5">
        <v>36.81</v>
      </c>
      <c r="Z163" s="5">
        <v>1374.59</v>
      </c>
      <c r="AA163" s="5">
        <v>1</v>
      </c>
      <c r="AB163" s="5">
        <v>1374.59</v>
      </c>
    </row>
    <row r="164" spans="1:28" ht="12.75">
      <c r="A164" s="5">
        <v>50</v>
      </c>
      <c r="B164" s="5">
        <v>0</v>
      </c>
      <c r="C164" s="5">
        <v>0</v>
      </c>
      <c r="D164" s="5">
        <v>1</v>
      </c>
      <c r="E164" s="5">
        <v>211</v>
      </c>
      <c r="F164" s="5">
        <f>ROUND(Source!Y137,O164)</f>
        <v>17.6</v>
      </c>
      <c r="G164" s="5" t="s">
        <v>108</v>
      </c>
      <c r="H164" s="5" t="s">
        <v>109</v>
      </c>
      <c r="I164" s="5"/>
      <c r="J164" s="5"/>
      <c r="K164" s="5">
        <v>211</v>
      </c>
      <c r="L164" s="5">
        <v>26</v>
      </c>
      <c r="M164" s="5">
        <v>3</v>
      </c>
      <c r="N164" s="5" t="s">
        <v>3</v>
      </c>
      <c r="O164" s="5">
        <v>2</v>
      </c>
      <c r="P164" s="5">
        <f>ROUND(Source!DQ137,O164)</f>
        <v>657.41</v>
      </c>
      <c r="Q164" s="5"/>
      <c r="R164" s="5"/>
      <c r="S164" s="5"/>
      <c r="T164" s="5"/>
      <c r="U164" s="5"/>
      <c r="V164" s="5"/>
      <c r="W164" s="5">
        <v>17.6</v>
      </c>
      <c r="X164" s="5">
        <v>1</v>
      </c>
      <c r="Y164" s="5">
        <v>17.6</v>
      </c>
      <c r="Z164" s="5">
        <v>657.41</v>
      </c>
      <c r="AA164" s="5">
        <v>1</v>
      </c>
      <c r="AB164" s="5">
        <v>657.41</v>
      </c>
    </row>
    <row r="165" spans="1:28" ht="12.75">
      <c r="A165" s="5">
        <v>50</v>
      </c>
      <c r="B165" s="5">
        <v>0</v>
      </c>
      <c r="C165" s="5">
        <v>0</v>
      </c>
      <c r="D165" s="5">
        <v>1</v>
      </c>
      <c r="E165" s="5">
        <v>224</v>
      </c>
      <c r="F165" s="5">
        <f>ROUND(Source!AR137,O165)</f>
        <v>928.13</v>
      </c>
      <c r="G165" s="5" t="s">
        <v>110</v>
      </c>
      <c r="H165" s="5" t="s">
        <v>111</v>
      </c>
      <c r="I165" s="5"/>
      <c r="J165" s="5"/>
      <c r="K165" s="5">
        <v>224</v>
      </c>
      <c r="L165" s="5">
        <v>27</v>
      </c>
      <c r="M165" s="5">
        <v>3</v>
      </c>
      <c r="N165" s="5" t="s">
        <v>3</v>
      </c>
      <c r="O165" s="5">
        <v>2</v>
      </c>
      <c r="P165" s="5">
        <f>ROUND(Source!EJ137,O165)</f>
        <v>13986.99</v>
      </c>
      <c r="Q165" s="5"/>
      <c r="R165" s="5"/>
      <c r="S165" s="5"/>
      <c r="T165" s="5"/>
      <c r="U165" s="5"/>
      <c r="V165" s="5"/>
      <c r="W165" s="5">
        <v>928.13</v>
      </c>
      <c r="X165" s="5">
        <v>1</v>
      </c>
      <c r="Y165" s="5">
        <v>928.13</v>
      </c>
      <c r="Z165" s="5">
        <v>13986.99</v>
      </c>
      <c r="AA165" s="5">
        <v>1</v>
      </c>
      <c r="AB165" s="5">
        <v>13986.99</v>
      </c>
    </row>
    <row r="167" spans="1:206" ht="12.75">
      <c r="A167" s="3">
        <v>51</v>
      </c>
      <c r="B167" s="3">
        <f>B20</f>
        <v>1</v>
      </c>
      <c r="C167" s="3">
        <f>A20</f>
        <v>3</v>
      </c>
      <c r="D167" s="3">
        <f>ROW(A20)</f>
        <v>20</v>
      </c>
      <c r="E167" s="3"/>
      <c r="F167" s="3">
        <f>IF(F20&lt;&gt;"",F20,"")</f>
      </c>
      <c r="G167" s="3">
        <f>IF(G20&lt;&gt;"",G20,"")</f>
      </c>
      <c r="H167" s="3">
        <v>0</v>
      </c>
      <c r="I167" s="3"/>
      <c r="J167" s="3"/>
      <c r="K167" s="3"/>
      <c r="L167" s="3"/>
      <c r="M167" s="3"/>
      <c r="N167" s="3"/>
      <c r="O167" s="3">
        <f aca="true" t="shared" si="123" ref="O167:T167">ROUND(O37+O96+O137+AB167,2)</f>
        <v>22977.09</v>
      </c>
      <c r="P167" s="3">
        <f t="shared" si="123"/>
        <v>21063.09</v>
      </c>
      <c r="Q167" s="3">
        <f t="shared" si="123"/>
        <v>511.42</v>
      </c>
      <c r="R167" s="3">
        <f t="shared" si="123"/>
        <v>64.34</v>
      </c>
      <c r="S167" s="3">
        <f t="shared" si="123"/>
        <v>1402.58</v>
      </c>
      <c r="T167" s="3">
        <f t="shared" si="123"/>
        <v>0</v>
      </c>
      <c r="U167" s="3">
        <f>U37+U96+U137+AH167</f>
        <v>165.13558999999998</v>
      </c>
      <c r="V167" s="3">
        <f>V37+V96+V137+AI167</f>
        <v>5.2964899999999995</v>
      </c>
      <c r="W167" s="3">
        <f>ROUND(W37+W96+W137+AJ167,2)</f>
        <v>0</v>
      </c>
      <c r="X167" s="3">
        <f>ROUND(X37+X96+X137+AK167,2)</f>
        <v>1451.67</v>
      </c>
      <c r="Y167" s="3">
        <f>ROUND(Y37+Y96+Y137+AL167,2)</f>
        <v>758.35</v>
      </c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>
        <f aca="true" t="shared" si="124" ref="AO167:BD167">ROUND(AO37+AO96+AO137+BX167,2)</f>
        <v>0</v>
      </c>
      <c r="AP167" s="3">
        <f t="shared" si="124"/>
        <v>0</v>
      </c>
      <c r="AQ167" s="3">
        <f t="shared" si="124"/>
        <v>0</v>
      </c>
      <c r="AR167" s="3">
        <f t="shared" si="124"/>
        <v>25932.26</v>
      </c>
      <c r="AS167" s="3">
        <f t="shared" si="124"/>
        <v>25932.26</v>
      </c>
      <c r="AT167" s="3">
        <f t="shared" si="124"/>
        <v>0</v>
      </c>
      <c r="AU167" s="3">
        <f t="shared" si="124"/>
        <v>0</v>
      </c>
      <c r="AV167" s="3">
        <f t="shared" si="124"/>
        <v>21063.09</v>
      </c>
      <c r="AW167" s="3">
        <f t="shared" si="124"/>
        <v>21063.09</v>
      </c>
      <c r="AX167" s="3">
        <f t="shared" si="124"/>
        <v>0</v>
      </c>
      <c r="AY167" s="3">
        <f t="shared" si="124"/>
        <v>21063.09</v>
      </c>
      <c r="AZ167" s="3">
        <f t="shared" si="124"/>
        <v>0</v>
      </c>
      <c r="BA167" s="3">
        <f t="shared" si="124"/>
        <v>0</v>
      </c>
      <c r="BB167" s="3">
        <f t="shared" si="124"/>
        <v>0</v>
      </c>
      <c r="BC167" s="3">
        <f t="shared" si="124"/>
        <v>0</v>
      </c>
      <c r="BD167" s="3">
        <f t="shared" si="124"/>
        <v>745.15</v>
      </c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4">
        <f aca="true" t="shared" si="125" ref="DG167:DL167">ROUND(DG37+DG96+DG137+DT167,2)</f>
        <v>200687.79</v>
      </c>
      <c r="DH167" s="4">
        <f t="shared" si="125"/>
        <v>141543.84</v>
      </c>
      <c r="DI167" s="4">
        <f t="shared" si="125"/>
        <v>6771.91</v>
      </c>
      <c r="DJ167" s="4">
        <f t="shared" si="125"/>
        <v>2402.73</v>
      </c>
      <c r="DK167" s="4">
        <f t="shared" si="125"/>
        <v>52372.04</v>
      </c>
      <c r="DL167" s="4">
        <f t="shared" si="125"/>
        <v>0</v>
      </c>
      <c r="DM167" s="4">
        <f>DM37+DM96+DM137+DZ167</f>
        <v>165.13558999999998</v>
      </c>
      <c r="DN167" s="4">
        <f>DN37+DN96+DN137+EA167</f>
        <v>5.2964899999999995</v>
      </c>
      <c r="DO167" s="4">
        <f>ROUND(DO37+DO96+DO137+EB167,2)</f>
        <v>0</v>
      </c>
      <c r="DP167" s="4">
        <f>ROUND(DP37+DP96+DP137+EC167,2)</f>
        <v>54205.13</v>
      </c>
      <c r="DQ167" s="4">
        <f>ROUND(DQ37+DQ96+DQ137+ED167,2)</f>
        <v>28317.68</v>
      </c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>
        <f aca="true" t="shared" si="126" ref="EG167:EV167">ROUND(EG37+EG96+EG137+FP167,2)</f>
        <v>0</v>
      </c>
      <c r="EH167" s="4">
        <f t="shared" si="126"/>
        <v>0</v>
      </c>
      <c r="EI167" s="4">
        <f t="shared" si="126"/>
        <v>0</v>
      </c>
      <c r="EJ167" s="4">
        <f t="shared" si="126"/>
        <v>293076.35</v>
      </c>
      <c r="EK167" s="4">
        <f t="shared" si="126"/>
        <v>293076.35</v>
      </c>
      <c r="EL167" s="4">
        <f t="shared" si="126"/>
        <v>0</v>
      </c>
      <c r="EM167" s="4">
        <f t="shared" si="126"/>
        <v>0</v>
      </c>
      <c r="EN167" s="4">
        <f t="shared" si="126"/>
        <v>141543.84</v>
      </c>
      <c r="EO167" s="4">
        <f t="shared" si="126"/>
        <v>141543.84</v>
      </c>
      <c r="EP167" s="4">
        <f t="shared" si="126"/>
        <v>0</v>
      </c>
      <c r="EQ167" s="4">
        <f t="shared" si="126"/>
        <v>141543.84</v>
      </c>
      <c r="ER167" s="4">
        <f t="shared" si="126"/>
        <v>0</v>
      </c>
      <c r="ES167" s="4">
        <f t="shared" si="126"/>
        <v>0</v>
      </c>
      <c r="ET167" s="4">
        <f t="shared" si="126"/>
        <v>0</v>
      </c>
      <c r="EU167" s="4">
        <f t="shared" si="126"/>
        <v>0</v>
      </c>
      <c r="EV167" s="4">
        <f t="shared" si="126"/>
        <v>9865.75</v>
      </c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>
        <v>0</v>
      </c>
    </row>
    <row r="169" spans="1:28" ht="12.75">
      <c r="A169" s="5">
        <v>50</v>
      </c>
      <c r="B169" s="5">
        <v>0</v>
      </c>
      <c r="C169" s="5">
        <v>0</v>
      </c>
      <c r="D169" s="5">
        <v>1</v>
      </c>
      <c r="E169" s="5">
        <v>201</v>
      </c>
      <c r="F169" s="5">
        <f>ROUND(Source!O167,O169)</f>
        <v>22977.09</v>
      </c>
      <c r="G169" s="5" t="s">
        <v>58</v>
      </c>
      <c r="H169" s="5" t="s">
        <v>59</v>
      </c>
      <c r="I169" s="5"/>
      <c r="J169" s="5"/>
      <c r="K169" s="5">
        <v>201</v>
      </c>
      <c r="L169" s="5">
        <v>1</v>
      </c>
      <c r="M169" s="5">
        <v>3</v>
      </c>
      <c r="N169" s="5" t="s">
        <v>3</v>
      </c>
      <c r="O169" s="5">
        <v>2</v>
      </c>
      <c r="P169" s="5">
        <f>ROUND(Source!DG167,O169)</f>
        <v>200687.79</v>
      </c>
      <c r="Q169" s="5"/>
      <c r="R169" s="5"/>
      <c r="S169" s="5"/>
      <c r="T169" s="5"/>
      <c r="U169" s="5"/>
      <c r="V169" s="5"/>
      <c r="W169" s="5">
        <v>23722.24</v>
      </c>
      <c r="X169" s="5">
        <v>1</v>
      </c>
      <c r="Y169" s="5">
        <v>23722.24</v>
      </c>
      <c r="Z169" s="5">
        <v>210553.54</v>
      </c>
      <c r="AA169" s="5">
        <v>1</v>
      </c>
      <c r="AB169" s="5">
        <v>210553.54</v>
      </c>
    </row>
    <row r="170" spans="1:28" ht="12.75">
      <c r="A170" s="5">
        <v>50</v>
      </c>
      <c r="B170" s="5">
        <v>0</v>
      </c>
      <c r="C170" s="5">
        <v>0</v>
      </c>
      <c r="D170" s="5">
        <v>1</v>
      </c>
      <c r="E170" s="5">
        <v>202</v>
      </c>
      <c r="F170" s="5">
        <f>ROUND(Source!P167,O170)</f>
        <v>21063.09</v>
      </c>
      <c r="G170" s="5" t="s">
        <v>60</v>
      </c>
      <c r="H170" s="5" t="s">
        <v>61</v>
      </c>
      <c r="I170" s="5"/>
      <c r="J170" s="5"/>
      <c r="K170" s="5">
        <v>202</v>
      </c>
      <c r="L170" s="5">
        <v>2</v>
      </c>
      <c r="M170" s="5">
        <v>3</v>
      </c>
      <c r="N170" s="5" t="s">
        <v>3</v>
      </c>
      <c r="O170" s="5">
        <v>2</v>
      </c>
      <c r="P170" s="5">
        <f>ROUND(Source!DH167,O170)</f>
        <v>141543.84</v>
      </c>
      <c r="Q170" s="5"/>
      <c r="R170" s="5"/>
      <c r="S170" s="5"/>
      <c r="T170" s="5"/>
      <c r="U170" s="5"/>
      <c r="V170" s="5"/>
      <c r="W170" s="5">
        <v>21063.09</v>
      </c>
      <c r="X170" s="5">
        <v>1</v>
      </c>
      <c r="Y170" s="5">
        <v>21063.09</v>
      </c>
      <c r="Z170" s="5">
        <v>141543.84</v>
      </c>
      <c r="AA170" s="5">
        <v>1</v>
      </c>
      <c r="AB170" s="5">
        <v>141543.84</v>
      </c>
    </row>
    <row r="171" spans="1:28" ht="12.75">
      <c r="A171" s="5">
        <v>50</v>
      </c>
      <c r="B171" s="5">
        <v>0</v>
      </c>
      <c r="C171" s="5">
        <v>0</v>
      </c>
      <c r="D171" s="5">
        <v>1</v>
      </c>
      <c r="E171" s="5">
        <v>222</v>
      </c>
      <c r="F171" s="5">
        <f>ROUND(Source!AO167,O171)</f>
        <v>0</v>
      </c>
      <c r="G171" s="5" t="s">
        <v>62</v>
      </c>
      <c r="H171" s="5" t="s">
        <v>63</v>
      </c>
      <c r="I171" s="5"/>
      <c r="J171" s="5"/>
      <c r="K171" s="5">
        <v>222</v>
      </c>
      <c r="L171" s="5">
        <v>3</v>
      </c>
      <c r="M171" s="5">
        <v>3</v>
      </c>
      <c r="N171" s="5" t="s">
        <v>3</v>
      </c>
      <c r="O171" s="5">
        <v>2</v>
      </c>
      <c r="P171" s="5">
        <f>ROUND(Source!EG167,O171)</f>
        <v>0</v>
      </c>
      <c r="Q171" s="5"/>
      <c r="R171" s="5"/>
      <c r="S171" s="5"/>
      <c r="T171" s="5"/>
      <c r="U171" s="5"/>
      <c r="V171" s="5"/>
      <c r="W171" s="5">
        <v>0</v>
      </c>
      <c r="X171" s="5">
        <v>1</v>
      </c>
      <c r="Y171" s="5">
        <v>0</v>
      </c>
      <c r="Z171" s="5">
        <v>0</v>
      </c>
      <c r="AA171" s="5">
        <v>1</v>
      </c>
      <c r="AB171" s="5">
        <v>0</v>
      </c>
    </row>
    <row r="172" spans="1:28" ht="12.75">
      <c r="A172" s="5">
        <v>50</v>
      </c>
      <c r="B172" s="5">
        <v>0</v>
      </c>
      <c r="C172" s="5">
        <v>0</v>
      </c>
      <c r="D172" s="5">
        <v>1</v>
      </c>
      <c r="E172" s="5">
        <v>225</v>
      </c>
      <c r="F172" s="5">
        <f>ROUND(Source!AV167,O172)</f>
        <v>21063.09</v>
      </c>
      <c r="G172" s="5" t="s">
        <v>64</v>
      </c>
      <c r="H172" s="5" t="s">
        <v>65</v>
      </c>
      <c r="I172" s="5"/>
      <c r="J172" s="5"/>
      <c r="K172" s="5">
        <v>225</v>
      </c>
      <c r="L172" s="5">
        <v>4</v>
      </c>
      <c r="M172" s="5">
        <v>3</v>
      </c>
      <c r="N172" s="5" t="s">
        <v>3</v>
      </c>
      <c r="O172" s="5">
        <v>2</v>
      </c>
      <c r="P172" s="5">
        <f>ROUND(Source!EN167,O172)</f>
        <v>141543.84</v>
      </c>
      <c r="Q172" s="5"/>
      <c r="R172" s="5"/>
      <c r="S172" s="5"/>
      <c r="T172" s="5"/>
      <c r="U172" s="5"/>
      <c r="V172" s="5"/>
      <c r="W172" s="5">
        <v>21063.09</v>
      </c>
      <c r="X172" s="5">
        <v>1</v>
      </c>
      <c r="Y172" s="5">
        <v>21063.09</v>
      </c>
      <c r="Z172" s="5">
        <v>141543.84</v>
      </c>
      <c r="AA172" s="5">
        <v>1</v>
      </c>
      <c r="AB172" s="5">
        <v>141543.84</v>
      </c>
    </row>
    <row r="173" spans="1:28" ht="12.75">
      <c r="A173" s="5">
        <v>50</v>
      </c>
      <c r="B173" s="5">
        <v>0</v>
      </c>
      <c r="C173" s="5">
        <v>0</v>
      </c>
      <c r="D173" s="5">
        <v>1</v>
      </c>
      <c r="E173" s="5">
        <v>226</v>
      </c>
      <c r="F173" s="5">
        <f>ROUND(Source!AW167,O173)</f>
        <v>21063.09</v>
      </c>
      <c r="G173" s="5" t="s">
        <v>66</v>
      </c>
      <c r="H173" s="5" t="s">
        <v>67</v>
      </c>
      <c r="I173" s="5"/>
      <c r="J173" s="5"/>
      <c r="K173" s="5">
        <v>226</v>
      </c>
      <c r="L173" s="5">
        <v>5</v>
      </c>
      <c r="M173" s="5">
        <v>3</v>
      </c>
      <c r="N173" s="5" t="s">
        <v>3</v>
      </c>
      <c r="O173" s="5">
        <v>2</v>
      </c>
      <c r="P173" s="5">
        <f>ROUND(Source!EO167,O173)</f>
        <v>141543.84</v>
      </c>
      <c r="Q173" s="5"/>
      <c r="R173" s="5"/>
      <c r="S173" s="5"/>
      <c r="T173" s="5"/>
      <c r="U173" s="5"/>
      <c r="V173" s="5"/>
      <c r="W173" s="5">
        <v>21063.09</v>
      </c>
      <c r="X173" s="5">
        <v>1</v>
      </c>
      <c r="Y173" s="5">
        <v>21063.09</v>
      </c>
      <c r="Z173" s="5">
        <v>141543.84</v>
      </c>
      <c r="AA173" s="5">
        <v>1</v>
      </c>
      <c r="AB173" s="5">
        <v>141543.84</v>
      </c>
    </row>
    <row r="174" spans="1:28" ht="12.75">
      <c r="A174" s="5">
        <v>50</v>
      </c>
      <c r="B174" s="5">
        <v>0</v>
      </c>
      <c r="C174" s="5">
        <v>0</v>
      </c>
      <c r="D174" s="5">
        <v>1</v>
      </c>
      <c r="E174" s="5">
        <v>227</v>
      </c>
      <c r="F174" s="5">
        <f>ROUND(Source!AX167,O174)</f>
        <v>0</v>
      </c>
      <c r="G174" s="5" t="s">
        <v>68</v>
      </c>
      <c r="H174" s="5" t="s">
        <v>69</v>
      </c>
      <c r="I174" s="5"/>
      <c r="J174" s="5"/>
      <c r="K174" s="5">
        <v>227</v>
      </c>
      <c r="L174" s="5">
        <v>6</v>
      </c>
      <c r="M174" s="5">
        <v>3</v>
      </c>
      <c r="N174" s="5" t="s">
        <v>3</v>
      </c>
      <c r="O174" s="5">
        <v>2</v>
      </c>
      <c r="P174" s="5">
        <f>ROUND(Source!EP167,O174)</f>
        <v>0</v>
      </c>
      <c r="Q174" s="5"/>
      <c r="R174" s="5"/>
      <c r="S174" s="5"/>
      <c r="T174" s="5"/>
      <c r="U174" s="5"/>
      <c r="V174" s="5"/>
      <c r="W174" s="5">
        <v>0</v>
      </c>
      <c r="X174" s="5">
        <v>1</v>
      </c>
      <c r="Y174" s="5">
        <v>0</v>
      </c>
      <c r="Z174" s="5">
        <v>0</v>
      </c>
      <c r="AA174" s="5">
        <v>1</v>
      </c>
      <c r="AB174" s="5">
        <v>0</v>
      </c>
    </row>
    <row r="175" spans="1:28" ht="12.75">
      <c r="A175" s="5">
        <v>50</v>
      </c>
      <c r="B175" s="5">
        <v>0</v>
      </c>
      <c r="C175" s="5">
        <v>0</v>
      </c>
      <c r="D175" s="5">
        <v>1</v>
      </c>
      <c r="E175" s="5">
        <v>228</v>
      </c>
      <c r="F175" s="5">
        <f>ROUND(Source!AY167,O175)</f>
        <v>21063.09</v>
      </c>
      <c r="G175" s="5" t="s">
        <v>70</v>
      </c>
      <c r="H175" s="5" t="s">
        <v>71</v>
      </c>
      <c r="I175" s="5"/>
      <c r="J175" s="5"/>
      <c r="K175" s="5">
        <v>228</v>
      </c>
      <c r="L175" s="5">
        <v>7</v>
      </c>
      <c r="M175" s="5">
        <v>3</v>
      </c>
      <c r="N175" s="5" t="s">
        <v>3</v>
      </c>
      <c r="O175" s="5">
        <v>2</v>
      </c>
      <c r="P175" s="5">
        <f>ROUND(Source!EQ167,O175)</f>
        <v>141543.84</v>
      </c>
      <c r="Q175" s="5"/>
      <c r="R175" s="5"/>
      <c r="S175" s="5"/>
      <c r="T175" s="5"/>
      <c r="U175" s="5"/>
      <c r="V175" s="5"/>
      <c r="W175" s="5">
        <v>21063.09</v>
      </c>
      <c r="X175" s="5">
        <v>1</v>
      </c>
      <c r="Y175" s="5">
        <v>21063.09</v>
      </c>
      <c r="Z175" s="5">
        <v>141543.84</v>
      </c>
      <c r="AA175" s="5">
        <v>1</v>
      </c>
      <c r="AB175" s="5">
        <v>141543.84</v>
      </c>
    </row>
    <row r="176" spans="1:28" ht="12.75">
      <c r="A176" s="5">
        <v>50</v>
      </c>
      <c r="B176" s="5">
        <v>0</v>
      </c>
      <c r="C176" s="5">
        <v>0</v>
      </c>
      <c r="D176" s="5">
        <v>1</v>
      </c>
      <c r="E176" s="5">
        <v>216</v>
      </c>
      <c r="F176" s="5">
        <f>ROUND(Source!AP167,O176)</f>
        <v>0</v>
      </c>
      <c r="G176" s="5" t="s">
        <v>72</v>
      </c>
      <c r="H176" s="5" t="s">
        <v>73</v>
      </c>
      <c r="I176" s="5"/>
      <c r="J176" s="5"/>
      <c r="K176" s="5">
        <v>216</v>
      </c>
      <c r="L176" s="5">
        <v>8</v>
      </c>
      <c r="M176" s="5">
        <v>3</v>
      </c>
      <c r="N176" s="5" t="s">
        <v>3</v>
      </c>
      <c r="O176" s="5">
        <v>2</v>
      </c>
      <c r="P176" s="5">
        <f>ROUND(Source!EH167,O176)</f>
        <v>0</v>
      </c>
      <c r="Q176" s="5"/>
      <c r="R176" s="5"/>
      <c r="S176" s="5"/>
      <c r="T176" s="5"/>
      <c r="U176" s="5"/>
      <c r="V176" s="5"/>
      <c r="W176" s="5">
        <v>0</v>
      </c>
      <c r="X176" s="5">
        <v>1</v>
      </c>
      <c r="Y176" s="5">
        <v>0</v>
      </c>
      <c r="Z176" s="5">
        <v>0</v>
      </c>
      <c r="AA176" s="5">
        <v>1</v>
      </c>
      <c r="AB176" s="5">
        <v>0</v>
      </c>
    </row>
    <row r="177" spans="1:28" ht="12.75">
      <c r="A177" s="5">
        <v>50</v>
      </c>
      <c r="B177" s="5">
        <v>0</v>
      </c>
      <c r="C177" s="5">
        <v>0</v>
      </c>
      <c r="D177" s="5">
        <v>1</v>
      </c>
      <c r="E177" s="5">
        <v>223</v>
      </c>
      <c r="F177" s="5">
        <f>ROUND(Source!AQ167,O177)</f>
        <v>0</v>
      </c>
      <c r="G177" s="5" t="s">
        <v>74</v>
      </c>
      <c r="H177" s="5" t="s">
        <v>75</v>
      </c>
      <c r="I177" s="5"/>
      <c r="J177" s="5"/>
      <c r="K177" s="5">
        <v>223</v>
      </c>
      <c r="L177" s="5">
        <v>9</v>
      </c>
      <c r="M177" s="5">
        <v>3</v>
      </c>
      <c r="N177" s="5" t="s">
        <v>3</v>
      </c>
      <c r="O177" s="5">
        <v>2</v>
      </c>
      <c r="P177" s="5">
        <f>ROUND(Source!EI167,O177)</f>
        <v>0</v>
      </c>
      <c r="Q177" s="5"/>
      <c r="R177" s="5"/>
      <c r="S177" s="5"/>
      <c r="T177" s="5"/>
      <c r="U177" s="5"/>
      <c r="V177" s="5"/>
      <c r="W177" s="5">
        <v>0</v>
      </c>
      <c r="X177" s="5">
        <v>1</v>
      </c>
      <c r="Y177" s="5">
        <v>0</v>
      </c>
      <c r="Z177" s="5">
        <v>0</v>
      </c>
      <c r="AA177" s="5">
        <v>1</v>
      </c>
      <c r="AB177" s="5">
        <v>0</v>
      </c>
    </row>
    <row r="178" spans="1:28" ht="12.75">
      <c r="A178" s="5">
        <v>50</v>
      </c>
      <c r="B178" s="5">
        <v>0</v>
      </c>
      <c r="C178" s="5">
        <v>0</v>
      </c>
      <c r="D178" s="5">
        <v>1</v>
      </c>
      <c r="E178" s="5">
        <v>229</v>
      </c>
      <c r="F178" s="5">
        <f>ROUND(Source!AZ167,O178)</f>
        <v>0</v>
      </c>
      <c r="G178" s="5" t="s">
        <v>76</v>
      </c>
      <c r="H178" s="5" t="s">
        <v>77</v>
      </c>
      <c r="I178" s="5"/>
      <c r="J178" s="5"/>
      <c r="K178" s="5">
        <v>229</v>
      </c>
      <c r="L178" s="5">
        <v>10</v>
      </c>
      <c r="M178" s="5">
        <v>3</v>
      </c>
      <c r="N178" s="5" t="s">
        <v>3</v>
      </c>
      <c r="O178" s="5">
        <v>2</v>
      </c>
      <c r="P178" s="5">
        <f>ROUND(Source!ER167,O178)</f>
        <v>0</v>
      </c>
      <c r="Q178" s="5"/>
      <c r="R178" s="5"/>
      <c r="S178" s="5"/>
      <c r="T178" s="5"/>
      <c r="U178" s="5"/>
      <c r="V178" s="5"/>
      <c r="W178" s="5">
        <v>0</v>
      </c>
      <c r="X178" s="5">
        <v>1</v>
      </c>
      <c r="Y178" s="5">
        <v>0</v>
      </c>
      <c r="Z178" s="5">
        <v>0</v>
      </c>
      <c r="AA178" s="5">
        <v>1</v>
      </c>
      <c r="AB178" s="5">
        <v>0</v>
      </c>
    </row>
    <row r="179" spans="1:28" ht="12.75">
      <c r="A179" s="5">
        <v>50</v>
      </c>
      <c r="B179" s="5">
        <v>0</v>
      </c>
      <c r="C179" s="5">
        <v>0</v>
      </c>
      <c r="D179" s="5">
        <v>1</v>
      </c>
      <c r="E179" s="5">
        <v>203</v>
      </c>
      <c r="F179" s="5">
        <f>ROUND(Source!Q167,O179)</f>
        <v>511.42</v>
      </c>
      <c r="G179" s="5" t="s">
        <v>78</v>
      </c>
      <c r="H179" s="5" t="s">
        <v>79</v>
      </c>
      <c r="I179" s="5"/>
      <c r="J179" s="5"/>
      <c r="K179" s="5">
        <v>203</v>
      </c>
      <c r="L179" s="5">
        <v>11</v>
      </c>
      <c r="M179" s="5">
        <v>3</v>
      </c>
      <c r="N179" s="5" t="s">
        <v>3</v>
      </c>
      <c r="O179" s="5">
        <v>2</v>
      </c>
      <c r="P179" s="5">
        <f>ROUND(Source!DI167,O179)</f>
        <v>6771.91</v>
      </c>
      <c r="Q179" s="5"/>
      <c r="R179" s="5"/>
      <c r="S179" s="5"/>
      <c r="T179" s="5"/>
      <c r="U179" s="5"/>
      <c r="V179" s="5"/>
      <c r="W179" s="5">
        <v>511.41999999999996</v>
      </c>
      <c r="X179" s="5">
        <v>1</v>
      </c>
      <c r="Y179" s="5">
        <v>511.41999999999996</v>
      </c>
      <c r="Z179" s="5">
        <v>6771.909999999999</v>
      </c>
      <c r="AA179" s="5">
        <v>1</v>
      </c>
      <c r="AB179" s="5">
        <v>6771.909999999999</v>
      </c>
    </row>
    <row r="180" spans="1:28" ht="12.75">
      <c r="A180" s="5">
        <v>50</v>
      </c>
      <c r="B180" s="5">
        <v>0</v>
      </c>
      <c r="C180" s="5">
        <v>0</v>
      </c>
      <c r="D180" s="5">
        <v>1</v>
      </c>
      <c r="E180" s="5">
        <v>231</v>
      </c>
      <c r="F180" s="5">
        <f>ROUND(Source!BB167,O180)</f>
        <v>0</v>
      </c>
      <c r="G180" s="5" t="s">
        <v>80</v>
      </c>
      <c r="H180" s="5" t="s">
        <v>81</v>
      </c>
      <c r="I180" s="5"/>
      <c r="J180" s="5"/>
      <c r="K180" s="5">
        <v>231</v>
      </c>
      <c r="L180" s="5">
        <v>12</v>
      </c>
      <c r="M180" s="5">
        <v>3</v>
      </c>
      <c r="N180" s="5" t="s">
        <v>3</v>
      </c>
      <c r="O180" s="5">
        <v>2</v>
      </c>
      <c r="P180" s="5">
        <f>ROUND(Source!ET167,O180)</f>
        <v>0</v>
      </c>
      <c r="Q180" s="5"/>
      <c r="R180" s="5"/>
      <c r="S180" s="5"/>
      <c r="T180" s="5"/>
      <c r="U180" s="5"/>
      <c r="V180" s="5"/>
      <c r="W180" s="5">
        <v>0</v>
      </c>
      <c r="X180" s="5">
        <v>1</v>
      </c>
      <c r="Y180" s="5">
        <v>0</v>
      </c>
      <c r="Z180" s="5">
        <v>0</v>
      </c>
      <c r="AA180" s="5">
        <v>1</v>
      </c>
      <c r="AB180" s="5">
        <v>0</v>
      </c>
    </row>
    <row r="181" spans="1:28" ht="12.75">
      <c r="A181" s="5">
        <v>50</v>
      </c>
      <c r="B181" s="5">
        <v>0</v>
      </c>
      <c r="C181" s="5">
        <v>0</v>
      </c>
      <c r="D181" s="5">
        <v>1</v>
      </c>
      <c r="E181" s="5">
        <v>204</v>
      </c>
      <c r="F181" s="5">
        <f>ROUND(Source!R167,O181)</f>
        <v>64.34</v>
      </c>
      <c r="G181" s="5" t="s">
        <v>82</v>
      </c>
      <c r="H181" s="5" t="s">
        <v>83</v>
      </c>
      <c r="I181" s="5"/>
      <c r="J181" s="5"/>
      <c r="K181" s="5">
        <v>204</v>
      </c>
      <c r="L181" s="5">
        <v>13</v>
      </c>
      <c r="M181" s="5">
        <v>3</v>
      </c>
      <c r="N181" s="5" t="s">
        <v>3</v>
      </c>
      <c r="O181" s="5">
        <v>2</v>
      </c>
      <c r="P181" s="5">
        <f>ROUND(Source!DJ167,O181)</f>
        <v>2402.73</v>
      </c>
      <c r="Q181" s="5"/>
      <c r="R181" s="5"/>
      <c r="S181" s="5"/>
      <c r="T181" s="5"/>
      <c r="U181" s="5"/>
      <c r="V181" s="5"/>
      <c r="W181" s="5">
        <v>64.34</v>
      </c>
      <c r="X181" s="5">
        <v>1</v>
      </c>
      <c r="Y181" s="5">
        <v>64.34</v>
      </c>
      <c r="Z181" s="5">
        <v>2402.73</v>
      </c>
      <c r="AA181" s="5">
        <v>1</v>
      </c>
      <c r="AB181" s="5">
        <v>2402.73</v>
      </c>
    </row>
    <row r="182" spans="1:28" ht="12.75">
      <c r="A182" s="5">
        <v>50</v>
      </c>
      <c r="B182" s="5">
        <v>0</v>
      </c>
      <c r="C182" s="5">
        <v>0</v>
      </c>
      <c r="D182" s="5">
        <v>1</v>
      </c>
      <c r="E182" s="5">
        <v>205</v>
      </c>
      <c r="F182" s="5">
        <f>ROUND(Source!S167,O182)</f>
        <v>1402.58</v>
      </c>
      <c r="G182" s="5" t="s">
        <v>84</v>
      </c>
      <c r="H182" s="5" t="s">
        <v>85</v>
      </c>
      <c r="I182" s="5"/>
      <c r="J182" s="5"/>
      <c r="K182" s="5">
        <v>205</v>
      </c>
      <c r="L182" s="5">
        <v>14</v>
      </c>
      <c r="M182" s="5">
        <v>3</v>
      </c>
      <c r="N182" s="5" t="s">
        <v>3</v>
      </c>
      <c r="O182" s="5">
        <v>2</v>
      </c>
      <c r="P182" s="5">
        <f>ROUND(Source!DK167,O182)</f>
        <v>52372.04</v>
      </c>
      <c r="Q182" s="5"/>
      <c r="R182" s="5"/>
      <c r="S182" s="5"/>
      <c r="T182" s="5"/>
      <c r="U182" s="5"/>
      <c r="V182" s="5"/>
      <c r="W182" s="5">
        <v>1402.58</v>
      </c>
      <c r="X182" s="5">
        <v>1</v>
      </c>
      <c r="Y182" s="5">
        <v>1402.58</v>
      </c>
      <c r="Z182" s="5">
        <v>52372.04</v>
      </c>
      <c r="AA182" s="5">
        <v>1</v>
      </c>
      <c r="AB182" s="5">
        <v>52372.04</v>
      </c>
    </row>
    <row r="183" spans="1:28" ht="12.75">
      <c r="A183" s="5">
        <v>50</v>
      </c>
      <c r="B183" s="5">
        <v>0</v>
      </c>
      <c r="C183" s="5">
        <v>0</v>
      </c>
      <c r="D183" s="5">
        <v>1</v>
      </c>
      <c r="E183" s="5">
        <v>232</v>
      </c>
      <c r="F183" s="5">
        <f>ROUND(Source!BC167,O183)</f>
        <v>0</v>
      </c>
      <c r="G183" s="5" t="s">
        <v>86</v>
      </c>
      <c r="H183" s="5" t="s">
        <v>87</v>
      </c>
      <c r="I183" s="5"/>
      <c r="J183" s="5"/>
      <c r="K183" s="5">
        <v>232</v>
      </c>
      <c r="L183" s="5">
        <v>15</v>
      </c>
      <c r="M183" s="5">
        <v>3</v>
      </c>
      <c r="N183" s="5" t="s">
        <v>3</v>
      </c>
      <c r="O183" s="5">
        <v>2</v>
      </c>
      <c r="P183" s="5">
        <f>ROUND(Source!EU167,O183)</f>
        <v>0</v>
      </c>
      <c r="Q183" s="5"/>
      <c r="R183" s="5"/>
      <c r="S183" s="5"/>
      <c r="T183" s="5"/>
      <c r="U183" s="5"/>
      <c r="V183" s="5"/>
      <c r="W183" s="5">
        <v>0</v>
      </c>
      <c r="X183" s="5">
        <v>1</v>
      </c>
      <c r="Y183" s="5">
        <v>0</v>
      </c>
      <c r="Z183" s="5">
        <v>0</v>
      </c>
      <c r="AA183" s="5">
        <v>1</v>
      </c>
      <c r="AB183" s="5">
        <v>0</v>
      </c>
    </row>
    <row r="184" spans="1:28" ht="12.75">
      <c r="A184" s="5">
        <v>50</v>
      </c>
      <c r="B184" s="5">
        <v>0</v>
      </c>
      <c r="C184" s="5">
        <v>0</v>
      </c>
      <c r="D184" s="5">
        <v>1</v>
      </c>
      <c r="E184" s="5">
        <v>214</v>
      </c>
      <c r="F184" s="5">
        <f>ROUND(Source!AS167,O184)</f>
        <v>25932.26</v>
      </c>
      <c r="G184" s="5" t="s">
        <v>88</v>
      </c>
      <c r="H184" s="5" t="s">
        <v>89</v>
      </c>
      <c r="I184" s="5"/>
      <c r="J184" s="5"/>
      <c r="K184" s="5">
        <v>214</v>
      </c>
      <c r="L184" s="5">
        <v>16</v>
      </c>
      <c r="M184" s="5">
        <v>3</v>
      </c>
      <c r="N184" s="5" t="s">
        <v>3</v>
      </c>
      <c r="O184" s="5">
        <v>2</v>
      </c>
      <c r="P184" s="5">
        <f>ROUND(Source!EK167,O184)</f>
        <v>293076.35</v>
      </c>
      <c r="Q184" s="5"/>
      <c r="R184" s="5"/>
      <c r="S184" s="5"/>
      <c r="T184" s="5"/>
      <c r="U184" s="5"/>
      <c r="V184" s="5"/>
      <c r="W184" s="5">
        <v>25932.26</v>
      </c>
      <c r="X184" s="5">
        <v>1</v>
      </c>
      <c r="Y184" s="5">
        <v>25932.26</v>
      </c>
      <c r="Z184" s="5">
        <v>293076.35</v>
      </c>
      <c r="AA184" s="5">
        <v>1</v>
      </c>
      <c r="AB184" s="5">
        <v>293076.35</v>
      </c>
    </row>
    <row r="185" spans="1:28" ht="12.75">
      <c r="A185" s="5">
        <v>50</v>
      </c>
      <c r="B185" s="5">
        <v>0</v>
      </c>
      <c r="C185" s="5">
        <v>0</v>
      </c>
      <c r="D185" s="5">
        <v>1</v>
      </c>
      <c r="E185" s="5">
        <v>215</v>
      </c>
      <c r="F185" s="5">
        <f>ROUND(Source!AT167,O185)</f>
        <v>0</v>
      </c>
      <c r="G185" s="5" t="s">
        <v>90</v>
      </c>
      <c r="H185" s="5" t="s">
        <v>91</v>
      </c>
      <c r="I185" s="5"/>
      <c r="J185" s="5"/>
      <c r="K185" s="5">
        <v>215</v>
      </c>
      <c r="L185" s="5">
        <v>17</v>
      </c>
      <c r="M185" s="5">
        <v>3</v>
      </c>
      <c r="N185" s="5" t="s">
        <v>3</v>
      </c>
      <c r="O185" s="5">
        <v>2</v>
      </c>
      <c r="P185" s="5">
        <f>ROUND(Source!EL167,O185)</f>
        <v>0</v>
      </c>
      <c r="Q185" s="5"/>
      <c r="R185" s="5"/>
      <c r="S185" s="5"/>
      <c r="T185" s="5"/>
      <c r="U185" s="5"/>
      <c r="V185" s="5"/>
      <c r="W185" s="5">
        <v>0</v>
      </c>
      <c r="X185" s="5">
        <v>1</v>
      </c>
      <c r="Y185" s="5">
        <v>0</v>
      </c>
      <c r="Z185" s="5">
        <v>0</v>
      </c>
      <c r="AA185" s="5">
        <v>1</v>
      </c>
      <c r="AB185" s="5">
        <v>0</v>
      </c>
    </row>
    <row r="186" spans="1:28" ht="12.75">
      <c r="A186" s="5">
        <v>50</v>
      </c>
      <c r="B186" s="5">
        <v>0</v>
      </c>
      <c r="C186" s="5">
        <v>0</v>
      </c>
      <c r="D186" s="5">
        <v>1</v>
      </c>
      <c r="E186" s="5">
        <v>217</v>
      </c>
      <c r="F186" s="5">
        <f>ROUND(Source!AU167,O186)</f>
        <v>0</v>
      </c>
      <c r="G186" s="5" t="s">
        <v>92</v>
      </c>
      <c r="H186" s="5" t="s">
        <v>93</v>
      </c>
      <c r="I186" s="5"/>
      <c r="J186" s="5"/>
      <c r="K186" s="5">
        <v>217</v>
      </c>
      <c r="L186" s="5">
        <v>18</v>
      </c>
      <c r="M186" s="5">
        <v>3</v>
      </c>
      <c r="N186" s="5" t="s">
        <v>3</v>
      </c>
      <c r="O186" s="5">
        <v>2</v>
      </c>
      <c r="P186" s="5">
        <f>ROUND(Source!EM167,O186)</f>
        <v>0</v>
      </c>
      <c r="Q186" s="5"/>
      <c r="R186" s="5"/>
      <c r="S186" s="5"/>
      <c r="T186" s="5"/>
      <c r="U186" s="5"/>
      <c r="V186" s="5"/>
      <c r="W186" s="5">
        <v>0</v>
      </c>
      <c r="X186" s="5">
        <v>1</v>
      </c>
      <c r="Y186" s="5">
        <v>0</v>
      </c>
      <c r="Z186" s="5">
        <v>0</v>
      </c>
      <c r="AA186" s="5">
        <v>1</v>
      </c>
      <c r="AB186" s="5">
        <v>0</v>
      </c>
    </row>
    <row r="187" spans="1:28" ht="12.75">
      <c r="A187" s="5">
        <v>50</v>
      </c>
      <c r="B187" s="5">
        <v>0</v>
      </c>
      <c r="C187" s="5">
        <v>0</v>
      </c>
      <c r="D187" s="5">
        <v>1</v>
      </c>
      <c r="E187" s="5">
        <v>230</v>
      </c>
      <c r="F187" s="5">
        <f>ROUND(Source!BA167,O187)</f>
        <v>0</v>
      </c>
      <c r="G187" s="5" t="s">
        <v>94</v>
      </c>
      <c r="H187" s="5" t="s">
        <v>95</v>
      </c>
      <c r="I187" s="5"/>
      <c r="J187" s="5"/>
      <c r="K187" s="5">
        <v>230</v>
      </c>
      <c r="L187" s="5">
        <v>19</v>
      </c>
      <c r="M187" s="5">
        <v>3</v>
      </c>
      <c r="N187" s="5" t="s">
        <v>3</v>
      </c>
      <c r="O187" s="5">
        <v>2</v>
      </c>
      <c r="P187" s="5">
        <f>ROUND(Source!ES167,O187)</f>
        <v>0</v>
      </c>
      <c r="Q187" s="5"/>
      <c r="R187" s="5"/>
      <c r="S187" s="5"/>
      <c r="T187" s="5"/>
      <c r="U187" s="5"/>
      <c r="V187" s="5"/>
      <c r="W187" s="5">
        <v>0</v>
      </c>
      <c r="X187" s="5">
        <v>1</v>
      </c>
      <c r="Y187" s="5">
        <v>0</v>
      </c>
      <c r="Z187" s="5">
        <v>0</v>
      </c>
      <c r="AA187" s="5">
        <v>1</v>
      </c>
      <c r="AB187" s="5">
        <v>0</v>
      </c>
    </row>
    <row r="188" spans="1:28" ht="12.75">
      <c r="A188" s="5">
        <v>50</v>
      </c>
      <c r="B188" s="5">
        <v>0</v>
      </c>
      <c r="C188" s="5">
        <v>0</v>
      </c>
      <c r="D188" s="5">
        <v>1</v>
      </c>
      <c r="E188" s="5">
        <v>206</v>
      </c>
      <c r="F188" s="5">
        <f>ROUND(Source!T167,O188)</f>
        <v>0</v>
      </c>
      <c r="G188" s="5" t="s">
        <v>96</v>
      </c>
      <c r="H188" s="5" t="s">
        <v>97</v>
      </c>
      <c r="I188" s="5"/>
      <c r="J188" s="5"/>
      <c r="K188" s="5">
        <v>206</v>
      </c>
      <c r="L188" s="5">
        <v>20</v>
      </c>
      <c r="M188" s="5">
        <v>3</v>
      </c>
      <c r="N188" s="5" t="s">
        <v>3</v>
      </c>
      <c r="O188" s="5">
        <v>2</v>
      </c>
      <c r="P188" s="5">
        <f>ROUND(Source!DL167,O188)</f>
        <v>0</v>
      </c>
      <c r="Q188" s="5"/>
      <c r="R188" s="5"/>
      <c r="S188" s="5"/>
      <c r="T188" s="5"/>
      <c r="U188" s="5"/>
      <c r="V188" s="5"/>
      <c r="W188" s="5">
        <v>0</v>
      </c>
      <c r="X188" s="5">
        <v>1</v>
      </c>
      <c r="Y188" s="5">
        <v>0</v>
      </c>
      <c r="Z188" s="5">
        <v>0</v>
      </c>
      <c r="AA188" s="5">
        <v>1</v>
      </c>
      <c r="AB188" s="5">
        <v>0</v>
      </c>
    </row>
    <row r="189" spans="1:28" ht="12.75">
      <c r="A189" s="5">
        <v>50</v>
      </c>
      <c r="B189" s="5">
        <v>0</v>
      </c>
      <c r="C189" s="5">
        <v>0</v>
      </c>
      <c r="D189" s="5">
        <v>1</v>
      </c>
      <c r="E189" s="5">
        <v>207</v>
      </c>
      <c r="F189" s="5">
        <f>Source!U167</f>
        <v>165.13558999999998</v>
      </c>
      <c r="G189" s="5" t="s">
        <v>98</v>
      </c>
      <c r="H189" s="5" t="s">
        <v>99</v>
      </c>
      <c r="I189" s="5"/>
      <c r="J189" s="5"/>
      <c r="K189" s="5">
        <v>207</v>
      </c>
      <c r="L189" s="5">
        <v>21</v>
      </c>
      <c r="M189" s="5">
        <v>3</v>
      </c>
      <c r="N189" s="5" t="s">
        <v>3</v>
      </c>
      <c r="O189" s="5">
        <v>-1</v>
      </c>
      <c r="P189" s="5">
        <f>Source!DM167</f>
        <v>165.13558999999998</v>
      </c>
      <c r="Q189" s="5"/>
      <c r="R189" s="5"/>
      <c r="S189" s="5"/>
      <c r="T189" s="5"/>
      <c r="U189" s="5"/>
      <c r="V189" s="5"/>
      <c r="W189" s="5">
        <v>165.13559</v>
      </c>
      <c r="X189" s="5">
        <v>1</v>
      </c>
      <c r="Y189" s="5">
        <v>165.13559</v>
      </c>
      <c r="Z189" s="5">
        <v>165.13559</v>
      </c>
      <c r="AA189" s="5">
        <v>1</v>
      </c>
      <c r="AB189" s="5">
        <v>165.13559</v>
      </c>
    </row>
    <row r="190" spans="1:28" ht="12.75">
      <c r="A190" s="5">
        <v>50</v>
      </c>
      <c r="B190" s="5">
        <v>0</v>
      </c>
      <c r="C190" s="5">
        <v>0</v>
      </c>
      <c r="D190" s="5">
        <v>1</v>
      </c>
      <c r="E190" s="5">
        <v>208</v>
      </c>
      <c r="F190" s="5">
        <f>Source!V167</f>
        <v>5.2964899999999995</v>
      </c>
      <c r="G190" s="5" t="s">
        <v>100</v>
      </c>
      <c r="H190" s="5" t="s">
        <v>101</v>
      </c>
      <c r="I190" s="5"/>
      <c r="J190" s="5"/>
      <c r="K190" s="5">
        <v>208</v>
      </c>
      <c r="L190" s="5">
        <v>22</v>
      </c>
      <c r="M190" s="5">
        <v>3</v>
      </c>
      <c r="N190" s="5" t="s">
        <v>3</v>
      </c>
      <c r="O190" s="5">
        <v>-1</v>
      </c>
      <c r="P190" s="5">
        <f>Source!DN167</f>
        <v>5.2964899999999995</v>
      </c>
      <c r="Q190" s="5"/>
      <c r="R190" s="5"/>
      <c r="S190" s="5"/>
      <c r="T190" s="5"/>
      <c r="U190" s="5"/>
      <c r="V190" s="5"/>
      <c r="W190" s="5">
        <v>5.29649</v>
      </c>
      <c r="X190" s="5">
        <v>1</v>
      </c>
      <c r="Y190" s="5">
        <v>5.29649</v>
      </c>
      <c r="Z190" s="5">
        <v>5.29649</v>
      </c>
      <c r="AA190" s="5">
        <v>1</v>
      </c>
      <c r="AB190" s="5">
        <v>5.29649</v>
      </c>
    </row>
    <row r="191" spans="1:28" ht="12.75">
      <c r="A191" s="5">
        <v>50</v>
      </c>
      <c r="B191" s="5">
        <v>0</v>
      </c>
      <c r="C191" s="5">
        <v>0</v>
      </c>
      <c r="D191" s="5">
        <v>1</v>
      </c>
      <c r="E191" s="5">
        <v>209</v>
      </c>
      <c r="F191" s="5">
        <f>ROUND(Source!W167,O191)</f>
        <v>0</v>
      </c>
      <c r="G191" s="5" t="s">
        <v>102</v>
      </c>
      <c r="H191" s="5" t="s">
        <v>103</v>
      </c>
      <c r="I191" s="5"/>
      <c r="J191" s="5"/>
      <c r="K191" s="5">
        <v>209</v>
      </c>
      <c r="L191" s="5">
        <v>23</v>
      </c>
      <c r="M191" s="5">
        <v>3</v>
      </c>
      <c r="N191" s="5" t="s">
        <v>3</v>
      </c>
      <c r="O191" s="5">
        <v>2</v>
      </c>
      <c r="P191" s="5">
        <f>ROUND(Source!DO167,O191)</f>
        <v>0</v>
      </c>
      <c r="Q191" s="5"/>
      <c r="R191" s="5"/>
      <c r="S191" s="5"/>
      <c r="T191" s="5"/>
      <c r="U191" s="5"/>
      <c r="V191" s="5"/>
      <c r="W191" s="5">
        <v>0</v>
      </c>
      <c r="X191" s="5">
        <v>1</v>
      </c>
      <c r="Y191" s="5">
        <v>0</v>
      </c>
      <c r="Z191" s="5">
        <v>0</v>
      </c>
      <c r="AA191" s="5">
        <v>1</v>
      </c>
      <c r="AB191" s="5">
        <v>0</v>
      </c>
    </row>
    <row r="192" spans="1:28" ht="12.75">
      <c r="A192" s="5">
        <v>50</v>
      </c>
      <c r="B192" s="5">
        <v>0</v>
      </c>
      <c r="C192" s="5">
        <v>0</v>
      </c>
      <c r="D192" s="5">
        <v>1</v>
      </c>
      <c r="E192" s="5">
        <v>233</v>
      </c>
      <c r="F192" s="5">
        <f>ROUND(Source!BD167,O192)</f>
        <v>745.15</v>
      </c>
      <c r="G192" s="5" t="s">
        <v>104</v>
      </c>
      <c r="H192" s="5" t="s">
        <v>105</v>
      </c>
      <c r="I192" s="5"/>
      <c r="J192" s="5"/>
      <c r="K192" s="5">
        <v>233</v>
      </c>
      <c r="L192" s="5">
        <v>24</v>
      </c>
      <c r="M192" s="5">
        <v>3</v>
      </c>
      <c r="N192" s="5" t="s">
        <v>3</v>
      </c>
      <c r="O192" s="5">
        <v>2</v>
      </c>
      <c r="P192" s="5">
        <f>ROUND(Source!EV167,O192)</f>
        <v>9865.75</v>
      </c>
      <c r="Q192" s="5"/>
      <c r="R192" s="5"/>
      <c r="S192" s="5"/>
      <c r="T192" s="5"/>
      <c r="U192" s="5"/>
      <c r="V192" s="5"/>
      <c r="W192" s="5">
        <v>745.15</v>
      </c>
      <c r="X192" s="5">
        <v>1</v>
      </c>
      <c r="Y192" s="5">
        <v>745.15</v>
      </c>
      <c r="Z192" s="5">
        <v>9865.75</v>
      </c>
      <c r="AA192" s="5">
        <v>1</v>
      </c>
      <c r="AB192" s="5">
        <v>9865.75</v>
      </c>
    </row>
    <row r="193" spans="1:28" ht="12.75">
      <c r="A193" s="5">
        <v>50</v>
      </c>
      <c r="B193" s="5">
        <v>0</v>
      </c>
      <c r="C193" s="5">
        <v>0</v>
      </c>
      <c r="D193" s="5">
        <v>1</v>
      </c>
      <c r="E193" s="5">
        <v>210</v>
      </c>
      <c r="F193" s="5">
        <f>ROUND(Source!X167,O193)</f>
        <v>1451.67</v>
      </c>
      <c r="G193" s="5" t="s">
        <v>106</v>
      </c>
      <c r="H193" s="5" t="s">
        <v>107</v>
      </c>
      <c r="I193" s="5"/>
      <c r="J193" s="5"/>
      <c r="K193" s="5">
        <v>210</v>
      </c>
      <c r="L193" s="5">
        <v>25</v>
      </c>
      <c r="M193" s="5">
        <v>3</v>
      </c>
      <c r="N193" s="5" t="s">
        <v>3</v>
      </c>
      <c r="O193" s="5">
        <v>2</v>
      </c>
      <c r="P193" s="5">
        <f>ROUND(Source!DP167,O193)</f>
        <v>54205.13</v>
      </c>
      <c r="Q193" s="5"/>
      <c r="R193" s="5"/>
      <c r="S193" s="5"/>
      <c r="T193" s="5"/>
      <c r="U193" s="5"/>
      <c r="V193" s="5"/>
      <c r="W193" s="5">
        <v>1451.67</v>
      </c>
      <c r="X193" s="5">
        <v>1</v>
      </c>
      <c r="Y193" s="5">
        <v>1451.67</v>
      </c>
      <c r="Z193" s="5">
        <v>54205.13</v>
      </c>
      <c r="AA193" s="5">
        <v>1</v>
      </c>
      <c r="AB193" s="5">
        <v>54205.13</v>
      </c>
    </row>
    <row r="194" spans="1:28" ht="12.75">
      <c r="A194" s="5">
        <v>50</v>
      </c>
      <c r="B194" s="5">
        <v>0</v>
      </c>
      <c r="C194" s="5">
        <v>0</v>
      </c>
      <c r="D194" s="5">
        <v>1</v>
      </c>
      <c r="E194" s="5">
        <v>211</v>
      </c>
      <c r="F194" s="5">
        <f>ROUND(Source!Y167,O194)</f>
        <v>758.35</v>
      </c>
      <c r="G194" s="5" t="s">
        <v>108</v>
      </c>
      <c r="H194" s="5" t="s">
        <v>109</v>
      </c>
      <c r="I194" s="5"/>
      <c r="J194" s="5"/>
      <c r="K194" s="5">
        <v>211</v>
      </c>
      <c r="L194" s="5">
        <v>26</v>
      </c>
      <c r="M194" s="5">
        <v>3</v>
      </c>
      <c r="N194" s="5" t="s">
        <v>3</v>
      </c>
      <c r="O194" s="5">
        <v>2</v>
      </c>
      <c r="P194" s="5">
        <f>ROUND(Source!DQ167,O194)</f>
        <v>28317.68</v>
      </c>
      <c r="Q194" s="5"/>
      <c r="R194" s="5"/>
      <c r="S194" s="5"/>
      <c r="T194" s="5"/>
      <c r="U194" s="5"/>
      <c r="V194" s="5"/>
      <c r="W194" s="5">
        <v>758.35</v>
      </c>
      <c r="X194" s="5">
        <v>1</v>
      </c>
      <c r="Y194" s="5">
        <v>758.35</v>
      </c>
      <c r="Z194" s="5">
        <v>28317.68</v>
      </c>
      <c r="AA194" s="5">
        <v>1</v>
      </c>
      <c r="AB194" s="5">
        <v>28317.68</v>
      </c>
    </row>
    <row r="195" spans="1:28" ht="12.75">
      <c r="A195" s="5">
        <v>50</v>
      </c>
      <c r="B195" s="5">
        <v>0</v>
      </c>
      <c r="C195" s="5">
        <v>0</v>
      </c>
      <c r="D195" s="5">
        <v>1</v>
      </c>
      <c r="E195" s="5">
        <v>213</v>
      </c>
      <c r="F195" s="5">
        <f>ROUND(Source!AR167,O195)</f>
        <v>25932.26</v>
      </c>
      <c r="G195" s="5" t="s">
        <v>110</v>
      </c>
      <c r="H195" s="5" t="s">
        <v>111</v>
      </c>
      <c r="I195" s="5"/>
      <c r="J195" s="5"/>
      <c r="K195" s="5">
        <v>224</v>
      </c>
      <c r="L195" s="5">
        <v>27</v>
      </c>
      <c r="M195" s="5">
        <v>3</v>
      </c>
      <c r="N195" s="5" t="s">
        <v>3</v>
      </c>
      <c r="O195" s="5">
        <v>2</v>
      </c>
      <c r="P195" s="5">
        <f>ROUND(Source!EJ167,O195)</f>
        <v>293076.35</v>
      </c>
      <c r="Q195" s="5"/>
      <c r="R195" s="5"/>
      <c r="S195" s="5"/>
      <c r="T195" s="5"/>
      <c r="U195" s="5"/>
      <c r="V195" s="5"/>
      <c r="W195" s="5">
        <v>25932.260000000002</v>
      </c>
      <c r="X195" s="5">
        <v>1</v>
      </c>
      <c r="Y195" s="5">
        <v>25932.260000000002</v>
      </c>
      <c r="Z195" s="5">
        <v>293076.35</v>
      </c>
      <c r="AA195" s="5">
        <v>1</v>
      </c>
      <c r="AB195" s="5">
        <v>293076.35</v>
      </c>
    </row>
    <row r="196" spans="1:28" ht="12.75">
      <c r="A196" s="5">
        <v>50</v>
      </c>
      <c r="B196" s="5">
        <v>1</v>
      </c>
      <c r="C196" s="5">
        <v>0</v>
      </c>
      <c r="D196" s="5">
        <v>2</v>
      </c>
      <c r="E196" s="5">
        <v>0</v>
      </c>
      <c r="F196" s="5">
        <f>ROUND(F195*0.2,O196)</f>
        <v>5186</v>
      </c>
      <c r="G196" s="5" t="s">
        <v>191</v>
      </c>
      <c r="H196" s="5" t="s">
        <v>192</v>
      </c>
      <c r="I196" s="5"/>
      <c r="J196" s="5"/>
      <c r="K196" s="5">
        <v>212</v>
      </c>
      <c r="L196" s="5">
        <v>28</v>
      </c>
      <c r="M196" s="5">
        <v>0</v>
      </c>
      <c r="N196" s="5" t="s">
        <v>3</v>
      </c>
      <c r="O196" s="5">
        <v>0</v>
      </c>
      <c r="P196" s="5">
        <f>ROUND(P195*0.2,O196)</f>
        <v>58615</v>
      </c>
      <c r="Q196" s="5"/>
      <c r="R196" s="5"/>
      <c r="S196" s="5"/>
      <c r="T196" s="5"/>
      <c r="U196" s="5"/>
      <c r="V196" s="5"/>
      <c r="W196" s="5">
        <v>5186.45</v>
      </c>
      <c r="X196" s="5">
        <v>1</v>
      </c>
      <c r="Y196" s="5">
        <v>5186.45</v>
      </c>
      <c r="Z196" s="5">
        <v>58615.27</v>
      </c>
      <c r="AA196" s="5">
        <v>1</v>
      </c>
      <c r="AB196" s="5">
        <v>58615.27</v>
      </c>
    </row>
    <row r="197" spans="1:28" ht="12.75">
      <c r="A197" s="5">
        <v>50</v>
      </c>
      <c r="B197" s="5">
        <v>1</v>
      </c>
      <c r="C197" s="5">
        <v>0</v>
      </c>
      <c r="D197" s="5">
        <v>2</v>
      </c>
      <c r="E197" s="5">
        <v>224</v>
      </c>
      <c r="F197" s="5">
        <f>ROUND(F195*1.2,O197)</f>
        <v>31119</v>
      </c>
      <c r="G197" s="5" t="s">
        <v>193</v>
      </c>
      <c r="H197" s="5" t="s">
        <v>194</v>
      </c>
      <c r="I197" s="5"/>
      <c r="J197" s="5"/>
      <c r="K197" s="5">
        <v>212</v>
      </c>
      <c r="L197" s="5">
        <v>29</v>
      </c>
      <c r="M197" s="5">
        <v>0</v>
      </c>
      <c r="N197" s="5" t="s">
        <v>3</v>
      </c>
      <c r="O197" s="5">
        <v>0</v>
      </c>
      <c r="P197" s="5">
        <f>ROUND(P195*1.2,O197)</f>
        <v>351692</v>
      </c>
      <c r="Q197" s="5"/>
      <c r="R197" s="5"/>
      <c r="S197" s="5"/>
      <c r="T197" s="5"/>
      <c r="U197" s="5"/>
      <c r="V197" s="5"/>
      <c r="W197" s="5">
        <v>31118.71</v>
      </c>
      <c r="X197" s="5">
        <v>1</v>
      </c>
      <c r="Y197" s="5">
        <v>31118.71</v>
      </c>
      <c r="Z197" s="5">
        <v>351691.62</v>
      </c>
      <c r="AA197" s="5">
        <v>1</v>
      </c>
      <c r="AB197" s="5">
        <v>351691.62</v>
      </c>
    </row>
    <row r="199" spans="1:206" ht="12.75">
      <c r="A199" s="3">
        <v>51</v>
      </c>
      <c r="B199" s="3">
        <f>B12</f>
        <v>261</v>
      </c>
      <c r="C199" s="3">
        <f>A12</f>
        <v>1</v>
      </c>
      <c r="D199" s="3">
        <f>ROW(A12)</f>
        <v>12</v>
      </c>
      <c r="E199" s="3"/>
      <c r="F199" s="3">
        <f>IF(F12&lt;&gt;"",F12,"")</f>
      </c>
      <c r="G199" s="3" t="str">
        <f>IF(G12&lt;&gt;"",G12,"")</f>
        <v>Выполнение работ по текущему ремонту кровли ИПУ РАН строения 4</v>
      </c>
      <c r="H199" s="3">
        <v>0</v>
      </c>
      <c r="I199" s="3"/>
      <c r="J199" s="3"/>
      <c r="K199" s="3"/>
      <c r="L199" s="3"/>
      <c r="M199" s="3"/>
      <c r="N199" s="3"/>
      <c r="O199" s="3">
        <f aca="true" t="shared" si="127" ref="O199:T199">ROUND(O167,2)</f>
        <v>22977.09</v>
      </c>
      <c r="P199" s="3">
        <f t="shared" si="127"/>
        <v>21063.09</v>
      </c>
      <c r="Q199" s="3">
        <f t="shared" si="127"/>
        <v>511.42</v>
      </c>
      <c r="R199" s="3">
        <f t="shared" si="127"/>
        <v>64.34</v>
      </c>
      <c r="S199" s="3">
        <f t="shared" si="127"/>
        <v>1402.58</v>
      </c>
      <c r="T199" s="3">
        <f t="shared" si="127"/>
        <v>0</v>
      </c>
      <c r="U199" s="3">
        <f>U167</f>
        <v>165.13558999999998</v>
      </c>
      <c r="V199" s="3">
        <f>V167</f>
        <v>5.2964899999999995</v>
      </c>
      <c r="W199" s="3">
        <f>ROUND(W167,2)</f>
        <v>0</v>
      </c>
      <c r="X199" s="3">
        <f>ROUND(X167,2)</f>
        <v>1451.67</v>
      </c>
      <c r="Y199" s="3">
        <f>ROUND(Y167,2)</f>
        <v>758.35</v>
      </c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>
        <f aca="true" t="shared" si="128" ref="AO199:BD199">ROUND(AO167,2)</f>
        <v>0</v>
      </c>
      <c r="AP199" s="3">
        <f t="shared" si="128"/>
        <v>0</v>
      </c>
      <c r="AQ199" s="3">
        <f t="shared" si="128"/>
        <v>0</v>
      </c>
      <c r="AR199" s="3">
        <f t="shared" si="128"/>
        <v>25932.26</v>
      </c>
      <c r="AS199" s="3">
        <f t="shared" si="128"/>
        <v>25932.26</v>
      </c>
      <c r="AT199" s="3">
        <f t="shared" si="128"/>
        <v>0</v>
      </c>
      <c r="AU199" s="3">
        <f t="shared" si="128"/>
        <v>0</v>
      </c>
      <c r="AV199" s="3">
        <f t="shared" si="128"/>
        <v>21063.09</v>
      </c>
      <c r="AW199" s="3">
        <f t="shared" si="128"/>
        <v>21063.09</v>
      </c>
      <c r="AX199" s="3">
        <f t="shared" si="128"/>
        <v>0</v>
      </c>
      <c r="AY199" s="3">
        <f t="shared" si="128"/>
        <v>21063.09</v>
      </c>
      <c r="AZ199" s="3">
        <f t="shared" si="128"/>
        <v>0</v>
      </c>
      <c r="BA199" s="3">
        <f t="shared" si="128"/>
        <v>0</v>
      </c>
      <c r="BB199" s="3">
        <f t="shared" si="128"/>
        <v>0</v>
      </c>
      <c r="BC199" s="3">
        <f t="shared" si="128"/>
        <v>0</v>
      </c>
      <c r="BD199" s="3">
        <f t="shared" si="128"/>
        <v>745.15</v>
      </c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4">
        <f aca="true" t="shared" si="129" ref="DG199:DL199">ROUND(DG167,2)</f>
        <v>200687.79</v>
      </c>
      <c r="DH199" s="4">
        <f t="shared" si="129"/>
        <v>141543.84</v>
      </c>
      <c r="DI199" s="4">
        <f t="shared" si="129"/>
        <v>6771.91</v>
      </c>
      <c r="DJ199" s="4">
        <f t="shared" si="129"/>
        <v>2402.73</v>
      </c>
      <c r="DK199" s="4">
        <f t="shared" si="129"/>
        <v>52372.04</v>
      </c>
      <c r="DL199" s="4">
        <f t="shared" si="129"/>
        <v>0</v>
      </c>
      <c r="DM199" s="4">
        <f>DM167</f>
        <v>165.13558999999998</v>
      </c>
      <c r="DN199" s="4">
        <f>DN167</f>
        <v>5.2964899999999995</v>
      </c>
      <c r="DO199" s="4">
        <f>ROUND(DO167,2)</f>
        <v>0</v>
      </c>
      <c r="DP199" s="4">
        <f>ROUND(DP167,2)</f>
        <v>54205.13</v>
      </c>
      <c r="DQ199" s="4">
        <f>ROUND(DQ167,2)</f>
        <v>28317.68</v>
      </c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>
        <f aca="true" t="shared" si="130" ref="EG199:EV199">ROUND(EG167,2)</f>
        <v>0</v>
      </c>
      <c r="EH199" s="4">
        <f t="shared" si="130"/>
        <v>0</v>
      </c>
      <c r="EI199" s="4">
        <f t="shared" si="130"/>
        <v>0</v>
      </c>
      <c r="EJ199" s="4">
        <f t="shared" si="130"/>
        <v>293076.35</v>
      </c>
      <c r="EK199" s="4">
        <f t="shared" si="130"/>
        <v>293076.35</v>
      </c>
      <c r="EL199" s="4">
        <f t="shared" si="130"/>
        <v>0</v>
      </c>
      <c r="EM199" s="4">
        <f t="shared" si="130"/>
        <v>0</v>
      </c>
      <c r="EN199" s="4">
        <f t="shared" si="130"/>
        <v>141543.84</v>
      </c>
      <c r="EO199" s="4">
        <f t="shared" si="130"/>
        <v>141543.84</v>
      </c>
      <c r="EP199" s="4">
        <f t="shared" si="130"/>
        <v>0</v>
      </c>
      <c r="EQ199" s="4">
        <f t="shared" si="130"/>
        <v>141543.84</v>
      </c>
      <c r="ER199" s="4">
        <f t="shared" si="130"/>
        <v>0</v>
      </c>
      <c r="ES199" s="4">
        <f t="shared" si="130"/>
        <v>0</v>
      </c>
      <c r="ET199" s="4">
        <f t="shared" si="130"/>
        <v>0</v>
      </c>
      <c r="EU199" s="4">
        <f t="shared" si="130"/>
        <v>0</v>
      </c>
      <c r="EV199" s="4">
        <f t="shared" si="130"/>
        <v>9865.75</v>
      </c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>
        <v>0</v>
      </c>
    </row>
    <row r="201" spans="1:28" ht="12.75">
      <c r="A201" s="5">
        <v>50</v>
      </c>
      <c r="B201" s="5">
        <v>0</v>
      </c>
      <c r="C201" s="5">
        <v>0</v>
      </c>
      <c r="D201" s="5">
        <v>1</v>
      </c>
      <c r="E201" s="5">
        <v>201</v>
      </c>
      <c r="F201" s="5">
        <f>ROUND(Source!O199,O201)</f>
        <v>22977.09</v>
      </c>
      <c r="G201" s="5" t="s">
        <v>58</v>
      </c>
      <c r="H201" s="5" t="s">
        <v>59</v>
      </c>
      <c r="I201" s="5"/>
      <c r="J201" s="5"/>
      <c r="K201" s="5">
        <v>201</v>
      </c>
      <c r="L201" s="5">
        <v>1</v>
      </c>
      <c r="M201" s="5">
        <v>3</v>
      </c>
      <c r="N201" s="5" t="s">
        <v>3</v>
      </c>
      <c r="O201" s="5">
        <v>2</v>
      </c>
      <c r="P201" s="5">
        <f>ROUND(Source!DG199,O201)</f>
        <v>200687.79</v>
      </c>
      <c r="Q201" s="5"/>
      <c r="R201" s="5"/>
      <c r="S201" s="5"/>
      <c r="T201" s="5"/>
      <c r="U201" s="5"/>
      <c r="V201" s="5"/>
      <c r="W201" s="5">
        <v>23722.24</v>
      </c>
      <c r="X201" s="5">
        <v>1</v>
      </c>
      <c r="Y201" s="5">
        <v>23722.24</v>
      </c>
      <c r="Z201" s="5">
        <v>210553.54</v>
      </c>
      <c r="AA201" s="5">
        <v>1</v>
      </c>
      <c r="AB201" s="5">
        <v>210553.54</v>
      </c>
    </row>
    <row r="202" spans="1:28" ht="12.75">
      <c r="A202" s="5">
        <v>50</v>
      </c>
      <c r="B202" s="5">
        <v>0</v>
      </c>
      <c r="C202" s="5">
        <v>0</v>
      </c>
      <c r="D202" s="5">
        <v>1</v>
      </c>
      <c r="E202" s="5">
        <v>202</v>
      </c>
      <c r="F202" s="5">
        <f>ROUND(Source!P199,O202)</f>
        <v>21063.09</v>
      </c>
      <c r="G202" s="5" t="s">
        <v>60</v>
      </c>
      <c r="H202" s="5" t="s">
        <v>61</v>
      </c>
      <c r="I202" s="5"/>
      <c r="J202" s="5"/>
      <c r="K202" s="5">
        <v>202</v>
      </c>
      <c r="L202" s="5">
        <v>2</v>
      </c>
      <c r="M202" s="5">
        <v>3</v>
      </c>
      <c r="N202" s="5" t="s">
        <v>3</v>
      </c>
      <c r="O202" s="5">
        <v>2</v>
      </c>
      <c r="P202" s="5">
        <f>ROUND(Source!DH199,O202)</f>
        <v>141543.84</v>
      </c>
      <c r="Q202" s="5"/>
      <c r="R202" s="5"/>
      <c r="S202" s="5"/>
      <c r="T202" s="5"/>
      <c r="U202" s="5"/>
      <c r="V202" s="5"/>
      <c r="W202" s="5">
        <v>21063.09</v>
      </c>
      <c r="X202" s="5">
        <v>1</v>
      </c>
      <c r="Y202" s="5">
        <v>21063.09</v>
      </c>
      <c r="Z202" s="5">
        <v>141543.84</v>
      </c>
      <c r="AA202" s="5">
        <v>1</v>
      </c>
      <c r="AB202" s="5">
        <v>141543.84</v>
      </c>
    </row>
    <row r="203" spans="1:28" ht="12.75">
      <c r="A203" s="5">
        <v>50</v>
      </c>
      <c r="B203" s="5">
        <v>0</v>
      </c>
      <c r="C203" s="5">
        <v>0</v>
      </c>
      <c r="D203" s="5">
        <v>1</v>
      </c>
      <c r="E203" s="5">
        <v>222</v>
      </c>
      <c r="F203" s="5">
        <f>ROUND(Source!AO199,O203)</f>
        <v>0</v>
      </c>
      <c r="G203" s="5" t="s">
        <v>62</v>
      </c>
      <c r="H203" s="5" t="s">
        <v>63</v>
      </c>
      <c r="I203" s="5"/>
      <c r="J203" s="5"/>
      <c r="K203" s="5">
        <v>222</v>
      </c>
      <c r="L203" s="5">
        <v>3</v>
      </c>
      <c r="M203" s="5">
        <v>3</v>
      </c>
      <c r="N203" s="5" t="s">
        <v>3</v>
      </c>
      <c r="O203" s="5">
        <v>2</v>
      </c>
      <c r="P203" s="5">
        <f>ROUND(Source!EG199,O203)</f>
        <v>0</v>
      </c>
      <c r="Q203" s="5"/>
      <c r="R203" s="5"/>
      <c r="S203" s="5"/>
      <c r="T203" s="5"/>
      <c r="U203" s="5"/>
      <c r="V203" s="5"/>
      <c r="W203" s="5">
        <v>0</v>
      </c>
      <c r="X203" s="5">
        <v>1</v>
      </c>
      <c r="Y203" s="5">
        <v>0</v>
      </c>
      <c r="Z203" s="5">
        <v>0</v>
      </c>
      <c r="AA203" s="5">
        <v>1</v>
      </c>
      <c r="AB203" s="5">
        <v>0</v>
      </c>
    </row>
    <row r="204" spans="1:28" ht="12.75">
      <c r="A204" s="5">
        <v>50</v>
      </c>
      <c r="B204" s="5">
        <v>0</v>
      </c>
      <c r="C204" s="5">
        <v>0</v>
      </c>
      <c r="D204" s="5">
        <v>1</v>
      </c>
      <c r="E204" s="5">
        <v>225</v>
      </c>
      <c r="F204" s="5">
        <f>ROUND(Source!AV199,O204)</f>
        <v>21063.09</v>
      </c>
      <c r="G204" s="5" t="s">
        <v>64</v>
      </c>
      <c r="H204" s="5" t="s">
        <v>65</v>
      </c>
      <c r="I204" s="5"/>
      <c r="J204" s="5"/>
      <c r="K204" s="5">
        <v>225</v>
      </c>
      <c r="L204" s="5">
        <v>4</v>
      </c>
      <c r="M204" s="5">
        <v>3</v>
      </c>
      <c r="N204" s="5" t="s">
        <v>3</v>
      </c>
      <c r="O204" s="5">
        <v>2</v>
      </c>
      <c r="P204" s="5">
        <f>ROUND(Source!EN199,O204)</f>
        <v>141543.84</v>
      </c>
      <c r="Q204" s="5"/>
      <c r="R204" s="5"/>
      <c r="S204" s="5"/>
      <c r="T204" s="5"/>
      <c r="U204" s="5"/>
      <c r="V204" s="5"/>
      <c r="W204" s="5">
        <v>21063.09</v>
      </c>
      <c r="X204" s="5">
        <v>1</v>
      </c>
      <c r="Y204" s="5">
        <v>21063.09</v>
      </c>
      <c r="Z204" s="5">
        <v>141543.84</v>
      </c>
      <c r="AA204" s="5">
        <v>1</v>
      </c>
      <c r="AB204" s="5">
        <v>141543.84</v>
      </c>
    </row>
    <row r="205" spans="1:28" ht="12.75">
      <c r="A205" s="5">
        <v>50</v>
      </c>
      <c r="B205" s="5">
        <v>0</v>
      </c>
      <c r="C205" s="5">
        <v>0</v>
      </c>
      <c r="D205" s="5">
        <v>1</v>
      </c>
      <c r="E205" s="5">
        <v>226</v>
      </c>
      <c r="F205" s="5">
        <f>ROUND(Source!AW199,O205)</f>
        <v>21063.09</v>
      </c>
      <c r="G205" s="5" t="s">
        <v>66</v>
      </c>
      <c r="H205" s="5" t="s">
        <v>67</v>
      </c>
      <c r="I205" s="5"/>
      <c r="J205" s="5"/>
      <c r="K205" s="5">
        <v>226</v>
      </c>
      <c r="L205" s="5">
        <v>5</v>
      </c>
      <c r="M205" s="5">
        <v>3</v>
      </c>
      <c r="N205" s="5" t="s">
        <v>3</v>
      </c>
      <c r="O205" s="5">
        <v>2</v>
      </c>
      <c r="P205" s="5">
        <f>ROUND(Source!EO199,O205)</f>
        <v>141543.84</v>
      </c>
      <c r="Q205" s="5"/>
      <c r="R205" s="5"/>
      <c r="S205" s="5"/>
      <c r="T205" s="5"/>
      <c r="U205" s="5"/>
      <c r="V205" s="5"/>
      <c r="W205" s="5">
        <v>21063.09</v>
      </c>
      <c r="X205" s="5">
        <v>1</v>
      </c>
      <c r="Y205" s="5">
        <v>21063.09</v>
      </c>
      <c r="Z205" s="5">
        <v>141543.84</v>
      </c>
      <c r="AA205" s="5">
        <v>1</v>
      </c>
      <c r="AB205" s="5">
        <v>141543.84</v>
      </c>
    </row>
    <row r="206" spans="1:28" ht="12.75">
      <c r="A206" s="5">
        <v>50</v>
      </c>
      <c r="B206" s="5">
        <v>0</v>
      </c>
      <c r="C206" s="5">
        <v>0</v>
      </c>
      <c r="D206" s="5">
        <v>1</v>
      </c>
      <c r="E206" s="5">
        <v>227</v>
      </c>
      <c r="F206" s="5">
        <f>ROUND(Source!AX199,O206)</f>
        <v>0</v>
      </c>
      <c r="G206" s="5" t="s">
        <v>68</v>
      </c>
      <c r="H206" s="5" t="s">
        <v>69</v>
      </c>
      <c r="I206" s="5"/>
      <c r="J206" s="5"/>
      <c r="K206" s="5">
        <v>227</v>
      </c>
      <c r="L206" s="5">
        <v>6</v>
      </c>
      <c r="M206" s="5">
        <v>3</v>
      </c>
      <c r="N206" s="5" t="s">
        <v>3</v>
      </c>
      <c r="O206" s="5">
        <v>2</v>
      </c>
      <c r="P206" s="5">
        <f>ROUND(Source!EP199,O206)</f>
        <v>0</v>
      </c>
      <c r="Q206" s="5"/>
      <c r="R206" s="5"/>
      <c r="S206" s="5"/>
      <c r="T206" s="5"/>
      <c r="U206" s="5"/>
      <c r="V206" s="5"/>
      <c r="W206" s="5">
        <v>0</v>
      </c>
      <c r="X206" s="5">
        <v>1</v>
      </c>
      <c r="Y206" s="5">
        <v>0</v>
      </c>
      <c r="Z206" s="5">
        <v>0</v>
      </c>
      <c r="AA206" s="5">
        <v>1</v>
      </c>
      <c r="AB206" s="5">
        <v>0</v>
      </c>
    </row>
    <row r="207" spans="1:28" ht="12.75">
      <c r="A207" s="5">
        <v>50</v>
      </c>
      <c r="B207" s="5">
        <v>0</v>
      </c>
      <c r="C207" s="5">
        <v>0</v>
      </c>
      <c r="D207" s="5">
        <v>1</v>
      </c>
      <c r="E207" s="5">
        <v>228</v>
      </c>
      <c r="F207" s="5">
        <f>ROUND(Source!AY199,O207)</f>
        <v>21063.09</v>
      </c>
      <c r="G207" s="5" t="s">
        <v>70</v>
      </c>
      <c r="H207" s="5" t="s">
        <v>71</v>
      </c>
      <c r="I207" s="5"/>
      <c r="J207" s="5"/>
      <c r="K207" s="5">
        <v>228</v>
      </c>
      <c r="L207" s="5">
        <v>7</v>
      </c>
      <c r="M207" s="5">
        <v>3</v>
      </c>
      <c r="N207" s="5" t="s">
        <v>3</v>
      </c>
      <c r="O207" s="5">
        <v>2</v>
      </c>
      <c r="P207" s="5">
        <f>ROUND(Source!EQ199,O207)</f>
        <v>141543.84</v>
      </c>
      <c r="Q207" s="5"/>
      <c r="R207" s="5"/>
      <c r="S207" s="5"/>
      <c r="T207" s="5"/>
      <c r="U207" s="5"/>
      <c r="V207" s="5"/>
      <c r="W207" s="5">
        <v>21063.09</v>
      </c>
      <c r="X207" s="5">
        <v>1</v>
      </c>
      <c r="Y207" s="5">
        <v>21063.09</v>
      </c>
      <c r="Z207" s="5">
        <v>141543.84</v>
      </c>
      <c r="AA207" s="5">
        <v>1</v>
      </c>
      <c r="AB207" s="5">
        <v>141543.84</v>
      </c>
    </row>
    <row r="208" spans="1:28" ht="12.75">
      <c r="A208" s="5">
        <v>50</v>
      </c>
      <c r="B208" s="5">
        <v>0</v>
      </c>
      <c r="C208" s="5">
        <v>0</v>
      </c>
      <c r="D208" s="5">
        <v>1</v>
      </c>
      <c r="E208" s="5">
        <v>216</v>
      </c>
      <c r="F208" s="5">
        <f>ROUND(Source!AP199,O208)</f>
        <v>0</v>
      </c>
      <c r="G208" s="5" t="s">
        <v>72</v>
      </c>
      <c r="H208" s="5" t="s">
        <v>73</v>
      </c>
      <c r="I208" s="5"/>
      <c r="J208" s="5"/>
      <c r="K208" s="5">
        <v>216</v>
      </c>
      <c r="L208" s="5">
        <v>8</v>
      </c>
      <c r="M208" s="5">
        <v>3</v>
      </c>
      <c r="N208" s="5" t="s">
        <v>3</v>
      </c>
      <c r="O208" s="5">
        <v>2</v>
      </c>
      <c r="P208" s="5">
        <f>ROUND(Source!EH199,O208)</f>
        <v>0</v>
      </c>
      <c r="Q208" s="5"/>
      <c r="R208" s="5"/>
      <c r="S208" s="5"/>
      <c r="T208" s="5"/>
      <c r="U208" s="5"/>
      <c r="V208" s="5"/>
      <c r="W208" s="5">
        <v>0</v>
      </c>
      <c r="X208" s="5">
        <v>1</v>
      </c>
      <c r="Y208" s="5">
        <v>0</v>
      </c>
      <c r="Z208" s="5">
        <v>0</v>
      </c>
      <c r="AA208" s="5">
        <v>1</v>
      </c>
      <c r="AB208" s="5">
        <v>0</v>
      </c>
    </row>
    <row r="209" spans="1:28" ht="12.75">
      <c r="A209" s="5">
        <v>50</v>
      </c>
      <c r="B209" s="5">
        <v>0</v>
      </c>
      <c r="C209" s="5">
        <v>0</v>
      </c>
      <c r="D209" s="5">
        <v>1</v>
      </c>
      <c r="E209" s="5">
        <v>223</v>
      </c>
      <c r="F209" s="5">
        <f>ROUND(Source!AQ199,O209)</f>
        <v>0</v>
      </c>
      <c r="G209" s="5" t="s">
        <v>74</v>
      </c>
      <c r="H209" s="5" t="s">
        <v>75</v>
      </c>
      <c r="I209" s="5"/>
      <c r="J209" s="5"/>
      <c r="K209" s="5">
        <v>223</v>
      </c>
      <c r="L209" s="5">
        <v>9</v>
      </c>
      <c r="M209" s="5">
        <v>3</v>
      </c>
      <c r="N209" s="5" t="s">
        <v>3</v>
      </c>
      <c r="O209" s="5">
        <v>2</v>
      </c>
      <c r="P209" s="5">
        <f>ROUND(Source!EI199,O209)</f>
        <v>0</v>
      </c>
      <c r="Q209" s="5"/>
      <c r="R209" s="5"/>
      <c r="S209" s="5"/>
      <c r="T209" s="5"/>
      <c r="U209" s="5"/>
      <c r="V209" s="5"/>
      <c r="W209" s="5">
        <v>0</v>
      </c>
      <c r="X209" s="5">
        <v>1</v>
      </c>
      <c r="Y209" s="5">
        <v>0</v>
      </c>
      <c r="Z209" s="5">
        <v>0</v>
      </c>
      <c r="AA209" s="5">
        <v>1</v>
      </c>
      <c r="AB209" s="5">
        <v>0</v>
      </c>
    </row>
    <row r="210" spans="1:28" ht="12.75">
      <c r="A210" s="5">
        <v>50</v>
      </c>
      <c r="B210" s="5">
        <v>0</v>
      </c>
      <c r="C210" s="5">
        <v>0</v>
      </c>
      <c r="D210" s="5">
        <v>1</v>
      </c>
      <c r="E210" s="5">
        <v>229</v>
      </c>
      <c r="F210" s="5">
        <f>ROUND(Source!AZ199,O210)</f>
        <v>0</v>
      </c>
      <c r="G210" s="5" t="s">
        <v>76</v>
      </c>
      <c r="H210" s="5" t="s">
        <v>77</v>
      </c>
      <c r="I210" s="5"/>
      <c r="J210" s="5"/>
      <c r="K210" s="5">
        <v>229</v>
      </c>
      <c r="L210" s="5">
        <v>10</v>
      </c>
      <c r="M210" s="5">
        <v>3</v>
      </c>
      <c r="N210" s="5" t="s">
        <v>3</v>
      </c>
      <c r="O210" s="5">
        <v>2</v>
      </c>
      <c r="P210" s="5">
        <f>ROUND(Source!ER199,O210)</f>
        <v>0</v>
      </c>
      <c r="Q210" s="5"/>
      <c r="R210" s="5"/>
      <c r="S210" s="5"/>
      <c r="T210" s="5"/>
      <c r="U210" s="5"/>
      <c r="V210" s="5"/>
      <c r="W210" s="5">
        <v>0</v>
      </c>
      <c r="X210" s="5">
        <v>1</v>
      </c>
      <c r="Y210" s="5">
        <v>0</v>
      </c>
      <c r="Z210" s="5">
        <v>0</v>
      </c>
      <c r="AA210" s="5">
        <v>1</v>
      </c>
      <c r="AB210" s="5">
        <v>0</v>
      </c>
    </row>
    <row r="211" spans="1:28" ht="12.75">
      <c r="A211" s="5">
        <v>50</v>
      </c>
      <c r="B211" s="5">
        <v>0</v>
      </c>
      <c r="C211" s="5">
        <v>0</v>
      </c>
      <c r="D211" s="5">
        <v>1</v>
      </c>
      <c r="E211" s="5">
        <v>203</v>
      </c>
      <c r="F211" s="5">
        <f>ROUND(Source!Q199,O211)</f>
        <v>511.42</v>
      </c>
      <c r="G211" s="5" t="s">
        <v>78</v>
      </c>
      <c r="H211" s="5" t="s">
        <v>79</v>
      </c>
      <c r="I211" s="5"/>
      <c r="J211" s="5"/>
      <c r="K211" s="5">
        <v>203</v>
      </c>
      <c r="L211" s="5">
        <v>11</v>
      </c>
      <c r="M211" s="5">
        <v>3</v>
      </c>
      <c r="N211" s="5" t="s">
        <v>3</v>
      </c>
      <c r="O211" s="5">
        <v>2</v>
      </c>
      <c r="P211" s="5">
        <f>ROUND(Source!DI199,O211)</f>
        <v>6771.91</v>
      </c>
      <c r="Q211" s="5"/>
      <c r="R211" s="5"/>
      <c r="S211" s="5"/>
      <c r="T211" s="5"/>
      <c r="U211" s="5"/>
      <c r="V211" s="5"/>
      <c r="W211" s="5">
        <v>511.41999999999996</v>
      </c>
      <c r="X211" s="5">
        <v>1</v>
      </c>
      <c r="Y211" s="5">
        <v>511.41999999999996</v>
      </c>
      <c r="Z211" s="5">
        <v>6771.909999999999</v>
      </c>
      <c r="AA211" s="5">
        <v>1</v>
      </c>
      <c r="AB211" s="5">
        <v>6771.909999999999</v>
      </c>
    </row>
    <row r="212" spans="1:28" ht="12.75">
      <c r="A212" s="5">
        <v>50</v>
      </c>
      <c r="B212" s="5">
        <v>0</v>
      </c>
      <c r="C212" s="5">
        <v>0</v>
      </c>
      <c r="D212" s="5">
        <v>1</v>
      </c>
      <c r="E212" s="5">
        <v>231</v>
      </c>
      <c r="F212" s="5">
        <f>ROUND(Source!BB199,O212)</f>
        <v>0</v>
      </c>
      <c r="G212" s="5" t="s">
        <v>80</v>
      </c>
      <c r="H212" s="5" t="s">
        <v>81</v>
      </c>
      <c r="I212" s="5"/>
      <c r="J212" s="5"/>
      <c r="K212" s="5">
        <v>231</v>
      </c>
      <c r="L212" s="5">
        <v>12</v>
      </c>
      <c r="M212" s="5">
        <v>3</v>
      </c>
      <c r="N212" s="5" t="s">
        <v>3</v>
      </c>
      <c r="O212" s="5">
        <v>2</v>
      </c>
      <c r="P212" s="5">
        <f>ROUND(Source!ET199,O212)</f>
        <v>0</v>
      </c>
      <c r="Q212" s="5"/>
      <c r="R212" s="5"/>
      <c r="S212" s="5"/>
      <c r="T212" s="5"/>
      <c r="U212" s="5"/>
      <c r="V212" s="5"/>
      <c r="W212" s="5">
        <v>0</v>
      </c>
      <c r="X212" s="5">
        <v>1</v>
      </c>
      <c r="Y212" s="5">
        <v>0</v>
      </c>
      <c r="Z212" s="5">
        <v>0</v>
      </c>
      <c r="AA212" s="5">
        <v>1</v>
      </c>
      <c r="AB212" s="5">
        <v>0</v>
      </c>
    </row>
    <row r="213" spans="1:28" ht="12.75">
      <c r="A213" s="5">
        <v>50</v>
      </c>
      <c r="B213" s="5">
        <v>0</v>
      </c>
      <c r="C213" s="5">
        <v>0</v>
      </c>
      <c r="D213" s="5">
        <v>1</v>
      </c>
      <c r="E213" s="5">
        <v>204</v>
      </c>
      <c r="F213" s="5">
        <f>ROUND(Source!R199,O213)</f>
        <v>64.34</v>
      </c>
      <c r="G213" s="5" t="s">
        <v>82</v>
      </c>
      <c r="H213" s="5" t="s">
        <v>83</v>
      </c>
      <c r="I213" s="5"/>
      <c r="J213" s="5"/>
      <c r="K213" s="5">
        <v>204</v>
      </c>
      <c r="L213" s="5">
        <v>13</v>
      </c>
      <c r="M213" s="5">
        <v>3</v>
      </c>
      <c r="N213" s="5" t="s">
        <v>3</v>
      </c>
      <c r="O213" s="5">
        <v>2</v>
      </c>
      <c r="P213" s="5">
        <f>ROUND(Source!DJ199,O213)</f>
        <v>2402.73</v>
      </c>
      <c r="Q213" s="5"/>
      <c r="R213" s="5"/>
      <c r="S213" s="5"/>
      <c r="T213" s="5"/>
      <c r="U213" s="5"/>
      <c r="V213" s="5"/>
      <c r="W213" s="5">
        <v>64.34</v>
      </c>
      <c r="X213" s="5">
        <v>1</v>
      </c>
      <c r="Y213" s="5">
        <v>64.34</v>
      </c>
      <c r="Z213" s="5">
        <v>2402.73</v>
      </c>
      <c r="AA213" s="5">
        <v>1</v>
      </c>
      <c r="AB213" s="5">
        <v>2402.73</v>
      </c>
    </row>
    <row r="214" spans="1:28" ht="12.75">
      <c r="A214" s="5">
        <v>50</v>
      </c>
      <c r="B214" s="5">
        <v>0</v>
      </c>
      <c r="C214" s="5">
        <v>0</v>
      </c>
      <c r="D214" s="5">
        <v>1</v>
      </c>
      <c r="E214" s="5">
        <v>205</v>
      </c>
      <c r="F214" s="5">
        <f>ROUND(Source!S199,O214)</f>
        <v>1402.58</v>
      </c>
      <c r="G214" s="5" t="s">
        <v>84</v>
      </c>
      <c r="H214" s="5" t="s">
        <v>85</v>
      </c>
      <c r="I214" s="5"/>
      <c r="J214" s="5"/>
      <c r="K214" s="5">
        <v>205</v>
      </c>
      <c r="L214" s="5">
        <v>14</v>
      </c>
      <c r="M214" s="5">
        <v>3</v>
      </c>
      <c r="N214" s="5" t="s">
        <v>3</v>
      </c>
      <c r="O214" s="5">
        <v>2</v>
      </c>
      <c r="P214" s="5">
        <f>ROUND(Source!DK199,O214)</f>
        <v>52372.04</v>
      </c>
      <c r="Q214" s="5"/>
      <c r="R214" s="5"/>
      <c r="S214" s="5"/>
      <c r="T214" s="5"/>
      <c r="U214" s="5"/>
      <c r="V214" s="5"/>
      <c r="W214" s="5">
        <v>1402.58</v>
      </c>
      <c r="X214" s="5">
        <v>1</v>
      </c>
      <c r="Y214" s="5">
        <v>1402.58</v>
      </c>
      <c r="Z214" s="5">
        <v>52372.04</v>
      </c>
      <c r="AA214" s="5">
        <v>1</v>
      </c>
      <c r="AB214" s="5">
        <v>52372.04</v>
      </c>
    </row>
    <row r="215" spans="1:28" ht="12.75">
      <c r="A215" s="5">
        <v>50</v>
      </c>
      <c r="B215" s="5">
        <v>0</v>
      </c>
      <c r="C215" s="5">
        <v>0</v>
      </c>
      <c r="D215" s="5">
        <v>1</v>
      </c>
      <c r="E215" s="5">
        <v>232</v>
      </c>
      <c r="F215" s="5">
        <f>ROUND(Source!BC199,O215)</f>
        <v>0</v>
      </c>
      <c r="G215" s="5" t="s">
        <v>86</v>
      </c>
      <c r="H215" s="5" t="s">
        <v>87</v>
      </c>
      <c r="I215" s="5"/>
      <c r="J215" s="5"/>
      <c r="K215" s="5">
        <v>232</v>
      </c>
      <c r="L215" s="5">
        <v>15</v>
      </c>
      <c r="M215" s="5">
        <v>3</v>
      </c>
      <c r="N215" s="5" t="s">
        <v>3</v>
      </c>
      <c r="O215" s="5">
        <v>2</v>
      </c>
      <c r="P215" s="5">
        <f>ROUND(Source!EU199,O215)</f>
        <v>0</v>
      </c>
      <c r="Q215" s="5"/>
      <c r="R215" s="5"/>
      <c r="S215" s="5"/>
      <c r="T215" s="5"/>
      <c r="U215" s="5"/>
      <c r="V215" s="5"/>
      <c r="W215" s="5">
        <v>0</v>
      </c>
      <c r="X215" s="5">
        <v>1</v>
      </c>
      <c r="Y215" s="5">
        <v>0</v>
      </c>
      <c r="Z215" s="5">
        <v>0</v>
      </c>
      <c r="AA215" s="5">
        <v>1</v>
      </c>
      <c r="AB215" s="5">
        <v>0</v>
      </c>
    </row>
    <row r="216" spans="1:28" ht="12.75">
      <c r="A216" s="5">
        <v>50</v>
      </c>
      <c r="B216" s="5">
        <v>0</v>
      </c>
      <c r="C216" s="5">
        <v>0</v>
      </c>
      <c r="D216" s="5">
        <v>1</v>
      </c>
      <c r="E216" s="5">
        <v>214</v>
      </c>
      <c r="F216" s="5">
        <f>ROUND(Source!AS199,O216)</f>
        <v>25932.26</v>
      </c>
      <c r="G216" s="5" t="s">
        <v>88</v>
      </c>
      <c r="H216" s="5" t="s">
        <v>89</v>
      </c>
      <c r="I216" s="5"/>
      <c r="J216" s="5"/>
      <c r="K216" s="5">
        <v>214</v>
      </c>
      <c r="L216" s="5">
        <v>16</v>
      </c>
      <c r="M216" s="5">
        <v>3</v>
      </c>
      <c r="N216" s="5" t="s">
        <v>3</v>
      </c>
      <c r="O216" s="5">
        <v>2</v>
      </c>
      <c r="P216" s="5">
        <f>ROUND(Source!EK199,O216)</f>
        <v>293076.35</v>
      </c>
      <c r="Q216" s="5"/>
      <c r="R216" s="5"/>
      <c r="S216" s="5"/>
      <c r="T216" s="5"/>
      <c r="U216" s="5"/>
      <c r="V216" s="5"/>
      <c r="W216" s="5">
        <v>25932.26</v>
      </c>
      <c r="X216" s="5">
        <v>1</v>
      </c>
      <c r="Y216" s="5">
        <v>25932.26</v>
      </c>
      <c r="Z216" s="5">
        <v>293076.35</v>
      </c>
      <c r="AA216" s="5">
        <v>1</v>
      </c>
      <c r="AB216" s="5">
        <v>293076.35</v>
      </c>
    </row>
    <row r="217" spans="1:28" ht="12.75">
      <c r="A217" s="5">
        <v>50</v>
      </c>
      <c r="B217" s="5">
        <v>0</v>
      </c>
      <c r="C217" s="5">
        <v>0</v>
      </c>
      <c r="D217" s="5">
        <v>1</v>
      </c>
      <c r="E217" s="5">
        <v>215</v>
      </c>
      <c r="F217" s="5">
        <f>ROUND(Source!AT199,O217)</f>
        <v>0</v>
      </c>
      <c r="G217" s="5" t="s">
        <v>90</v>
      </c>
      <c r="H217" s="5" t="s">
        <v>91</v>
      </c>
      <c r="I217" s="5"/>
      <c r="J217" s="5"/>
      <c r="K217" s="5">
        <v>215</v>
      </c>
      <c r="L217" s="5">
        <v>17</v>
      </c>
      <c r="M217" s="5">
        <v>3</v>
      </c>
      <c r="N217" s="5" t="s">
        <v>3</v>
      </c>
      <c r="O217" s="5">
        <v>2</v>
      </c>
      <c r="P217" s="5">
        <f>ROUND(Source!EL199,O217)</f>
        <v>0</v>
      </c>
      <c r="Q217" s="5"/>
      <c r="R217" s="5"/>
      <c r="S217" s="5"/>
      <c r="T217" s="5"/>
      <c r="U217" s="5"/>
      <c r="V217" s="5"/>
      <c r="W217" s="5">
        <v>0</v>
      </c>
      <c r="X217" s="5">
        <v>1</v>
      </c>
      <c r="Y217" s="5">
        <v>0</v>
      </c>
      <c r="Z217" s="5">
        <v>0</v>
      </c>
      <c r="AA217" s="5">
        <v>1</v>
      </c>
      <c r="AB217" s="5">
        <v>0</v>
      </c>
    </row>
    <row r="218" spans="1:28" ht="12.75">
      <c r="A218" s="5">
        <v>50</v>
      </c>
      <c r="B218" s="5">
        <v>0</v>
      </c>
      <c r="C218" s="5">
        <v>0</v>
      </c>
      <c r="D218" s="5">
        <v>1</v>
      </c>
      <c r="E218" s="5">
        <v>217</v>
      </c>
      <c r="F218" s="5">
        <f>ROUND(Source!AU199,O218)</f>
        <v>0</v>
      </c>
      <c r="G218" s="5" t="s">
        <v>92</v>
      </c>
      <c r="H218" s="5" t="s">
        <v>93</v>
      </c>
      <c r="I218" s="5"/>
      <c r="J218" s="5"/>
      <c r="K218" s="5">
        <v>217</v>
      </c>
      <c r="L218" s="5">
        <v>18</v>
      </c>
      <c r="M218" s="5">
        <v>3</v>
      </c>
      <c r="N218" s="5" t="s">
        <v>3</v>
      </c>
      <c r="O218" s="5">
        <v>2</v>
      </c>
      <c r="P218" s="5">
        <f>ROUND(Source!EM199,O218)</f>
        <v>0</v>
      </c>
      <c r="Q218" s="5"/>
      <c r="R218" s="5"/>
      <c r="S218" s="5"/>
      <c r="T218" s="5"/>
      <c r="U218" s="5"/>
      <c r="V218" s="5"/>
      <c r="W218" s="5">
        <v>0</v>
      </c>
      <c r="X218" s="5">
        <v>1</v>
      </c>
      <c r="Y218" s="5">
        <v>0</v>
      </c>
      <c r="Z218" s="5">
        <v>0</v>
      </c>
      <c r="AA218" s="5">
        <v>1</v>
      </c>
      <c r="AB218" s="5">
        <v>0</v>
      </c>
    </row>
    <row r="219" spans="1:28" ht="12.75">
      <c r="A219" s="5">
        <v>50</v>
      </c>
      <c r="B219" s="5">
        <v>0</v>
      </c>
      <c r="C219" s="5">
        <v>0</v>
      </c>
      <c r="D219" s="5">
        <v>1</v>
      </c>
      <c r="E219" s="5">
        <v>230</v>
      </c>
      <c r="F219" s="5">
        <f>ROUND(Source!BA199,O219)</f>
        <v>0</v>
      </c>
      <c r="G219" s="5" t="s">
        <v>94</v>
      </c>
      <c r="H219" s="5" t="s">
        <v>95</v>
      </c>
      <c r="I219" s="5"/>
      <c r="J219" s="5"/>
      <c r="K219" s="5">
        <v>230</v>
      </c>
      <c r="L219" s="5">
        <v>19</v>
      </c>
      <c r="M219" s="5">
        <v>3</v>
      </c>
      <c r="N219" s="5" t="s">
        <v>3</v>
      </c>
      <c r="O219" s="5">
        <v>2</v>
      </c>
      <c r="P219" s="5">
        <f>ROUND(Source!ES199,O219)</f>
        <v>0</v>
      </c>
      <c r="Q219" s="5"/>
      <c r="R219" s="5"/>
      <c r="S219" s="5"/>
      <c r="T219" s="5"/>
      <c r="U219" s="5"/>
      <c r="V219" s="5"/>
      <c r="W219" s="5">
        <v>0</v>
      </c>
      <c r="X219" s="5">
        <v>1</v>
      </c>
      <c r="Y219" s="5">
        <v>0</v>
      </c>
      <c r="Z219" s="5">
        <v>0</v>
      </c>
      <c r="AA219" s="5">
        <v>1</v>
      </c>
      <c r="AB219" s="5">
        <v>0</v>
      </c>
    </row>
    <row r="220" spans="1:28" ht="12.75">
      <c r="A220" s="5">
        <v>50</v>
      </c>
      <c r="B220" s="5">
        <v>0</v>
      </c>
      <c r="C220" s="5">
        <v>0</v>
      </c>
      <c r="D220" s="5">
        <v>1</v>
      </c>
      <c r="E220" s="5">
        <v>206</v>
      </c>
      <c r="F220" s="5">
        <f>ROUND(Source!T199,O220)</f>
        <v>0</v>
      </c>
      <c r="G220" s="5" t="s">
        <v>96</v>
      </c>
      <c r="H220" s="5" t="s">
        <v>97</v>
      </c>
      <c r="I220" s="5"/>
      <c r="J220" s="5"/>
      <c r="K220" s="5">
        <v>206</v>
      </c>
      <c r="L220" s="5">
        <v>20</v>
      </c>
      <c r="M220" s="5">
        <v>3</v>
      </c>
      <c r="N220" s="5" t="s">
        <v>3</v>
      </c>
      <c r="O220" s="5">
        <v>2</v>
      </c>
      <c r="P220" s="5">
        <f>ROUND(Source!DL199,O220)</f>
        <v>0</v>
      </c>
      <c r="Q220" s="5"/>
      <c r="R220" s="5"/>
      <c r="S220" s="5"/>
      <c r="T220" s="5"/>
      <c r="U220" s="5"/>
      <c r="V220" s="5"/>
      <c r="W220" s="5">
        <v>0</v>
      </c>
      <c r="X220" s="5">
        <v>1</v>
      </c>
      <c r="Y220" s="5">
        <v>0</v>
      </c>
      <c r="Z220" s="5">
        <v>0</v>
      </c>
      <c r="AA220" s="5">
        <v>1</v>
      </c>
      <c r="AB220" s="5">
        <v>0</v>
      </c>
    </row>
    <row r="221" spans="1:28" ht="12.75">
      <c r="A221" s="5">
        <v>50</v>
      </c>
      <c r="B221" s="5">
        <v>0</v>
      </c>
      <c r="C221" s="5">
        <v>0</v>
      </c>
      <c r="D221" s="5">
        <v>1</v>
      </c>
      <c r="E221" s="5">
        <v>207</v>
      </c>
      <c r="F221" s="5">
        <f>Source!U199</f>
        <v>165.13558999999998</v>
      </c>
      <c r="G221" s="5" t="s">
        <v>98</v>
      </c>
      <c r="H221" s="5" t="s">
        <v>99</v>
      </c>
      <c r="I221" s="5"/>
      <c r="J221" s="5"/>
      <c r="K221" s="5">
        <v>207</v>
      </c>
      <c r="L221" s="5">
        <v>21</v>
      </c>
      <c r="M221" s="5">
        <v>3</v>
      </c>
      <c r="N221" s="5" t="s">
        <v>3</v>
      </c>
      <c r="O221" s="5">
        <v>-1</v>
      </c>
      <c r="P221" s="5">
        <f>Source!DM199</f>
        <v>165.13558999999998</v>
      </c>
      <c r="Q221" s="5"/>
      <c r="R221" s="5"/>
      <c r="S221" s="5"/>
      <c r="T221" s="5"/>
      <c r="U221" s="5"/>
      <c r="V221" s="5"/>
      <c r="W221" s="5">
        <v>165.13559</v>
      </c>
      <c r="X221" s="5">
        <v>1</v>
      </c>
      <c r="Y221" s="5">
        <v>165.13559</v>
      </c>
      <c r="Z221" s="5">
        <v>165.13559</v>
      </c>
      <c r="AA221" s="5">
        <v>1</v>
      </c>
      <c r="AB221" s="5">
        <v>165.13559</v>
      </c>
    </row>
    <row r="222" spans="1:28" ht="12.75">
      <c r="A222" s="5">
        <v>50</v>
      </c>
      <c r="B222" s="5">
        <v>0</v>
      </c>
      <c r="C222" s="5">
        <v>0</v>
      </c>
      <c r="D222" s="5">
        <v>1</v>
      </c>
      <c r="E222" s="5">
        <v>208</v>
      </c>
      <c r="F222" s="5">
        <f>Source!V199</f>
        <v>5.2964899999999995</v>
      </c>
      <c r="G222" s="5" t="s">
        <v>100</v>
      </c>
      <c r="H222" s="5" t="s">
        <v>101</v>
      </c>
      <c r="I222" s="5"/>
      <c r="J222" s="5"/>
      <c r="K222" s="5">
        <v>208</v>
      </c>
      <c r="L222" s="5">
        <v>22</v>
      </c>
      <c r="M222" s="5">
        <v>3</v>
      </c>
      <c r="N222" s="5" t="s">
        <v>3</v>
      </c>
      <c r="O222" s="5">
        <v>-1</v>
      </c>
      <c r="P222" s="5">
        <f>Source!DN199</f>
        <v>5.2964899999999995</v>
      </c>
      <c r="Q222" s="5"/>
      <c r="R222" s="5"/>
      <c r="S222" s="5"/>
      <c r="T222" s="5"/>
      <c r="U222" s="5"/>
      <c r="V222" s="5"/>
      <c r="W222" s="5">
        <v>5.29649</v>
      </c>
      <c r="X222" s="5">
        <v>1</v>
      </c>
      <c r="Y222" s="5">
        <v>5.29649</v>
      </c>
      <c r="Z222" s="5">
        <v>5.29649</v>
      </c>
      <c r="AA222" s="5">
        <v>1</v>
      </c>
      <c r="AB222" s="5">
        <v>5.29649</v>
      </c>
    </row>
    <row r="223" spans="1:28" ht="12.75">
      <c r="A223" s="5">
        <v>50</v>
      </c>
      <c r="B223" s="5">
        <v>0</v>
      </c>
      <c r="C223" s="5">
        <v>0</v>
      </c>
      <c r="D223" s="5">
        <v>1</v>
      </c>
      <c r="E223" s="5">
        <v>209</v>
      </c>
      <c r="F223" s="5">
        <f>ROUND(Source!W199,O223)</f>
        <v>0</v>
      </c>
      <c r="G223" s="5" t="s">
        <v>102</v>
      </c>
      <c r="H223" s="5" t="s">
        <v>103</v>
      </c>
      <c r="I223" s="5"/>
      <c r="J223" s="5"/>
      <c r="K223" s="5">
        <v>209</v>
      </c>
      <c r="L223" s="5">
        <v>23</v>
      </c>
      <c r="M223" s="5">
        <v>3</v>
      </c>
      <c r="N223" s="5" t="s">
        <v>3</v>
      </c>
      <c r="O223" s="5">
        <v>2</v>
      </c>
      <c r="P223" s="5">
        <f>ROUND(Source!DO199,O223)</f>
        <v>0</v>
      </c>
      <c r="Q223" s="5"/>
      <c r="R223" s="5"/>
      <c r="S223" s="5"/>
      <c r="T223" s="5"/>
      <c r="U223" s="5"/>
      <c r="V223" s="5"/>
      <c r="W223" s="5">
        <v>0</v>
      </c>
      <c r="X223" s="5">
        <v>1</v>
      </c>
      <c r="Y223" s="5">
        <v>0</v>
      </c>
      <c r="Z223" s="5">
        <v>0</v>
      </c>
      <c r="AA223" s="5">
        <v>1</v>
      </c>
      <c r="AB223" s="5">
        <v>0</v>
      </c>
    </row>
    <row r="224" spans="1:28" ht="12.75">
      <c r="A224" s="5">
        <v>50</v>
      </c>
      <c r="B224" s="5">
        <v>0</v>
      </c>
      <c r="C224" s="5">
        <v>0</v>
      </c>
      <c r="D224" s="5">
        <v>1</v>
      </c>
      <c r="E224" s="5">
        <v>233</v>
      </c>
      <c r="F224" s="5">
        <f>ROUND(Source!BD199,O224)</f>
        <v>745.15</v>
      </c>
      <c r="G224" s="5" t="s">
        <v>104</v>
      </c>
      <c r="H224" s="5" t="s">
        <v>105</v>
      </c>
      <c r="I224" s="5"/>
      <c r="J224" s="5"/>
      <c r="K224" s="5">
        <v>233</v>
      </c>
      <c r="L224" s="5">
        <v>24</v>
      </c>
      <c r="M224" s="5">
        <v>3</v>
      </c>
      <c r="N224" s="5" t="s">
        <v>3</v>
      </c>
      <c r="O224" s="5">
        <v>2</v>
      </c>
      <c r="P224" s="5">
        <f>ROUND(Source!EV199,O224)</f>
        <v>9865.75</v>
      </c>
      <c r="Q224" s="5"/>
      <c r="R224" s="5"/>
      <c r="S224" s="5"/>
      <c r="T224" s="5"/>
      <c r="U224" s="5"/>
      <c r="V224" s="5"/>
      <c r="W224" s="5">
        <v>745.15</v>
      </c>
      <c r="X224" s="5">
        <v>1</v>
      </c>
      <c r="Y224" s="5">
        <v>745.15</v>
      </c>
      <c r="Z224" s="5">
        <v>9865.75</v>
      </c>
      <c r="AA224" s="5">
        <v>1</v>
      </c>
      <c r="AB224" s="5">
        <v>9865.75</v>
      </c>
    </row>
    <row r="225" spans="1:28" ht="12.75">
      <c r="A225" s="5">
        <v>50</v>
      </c>
      <c r="B225" s="5">
        <v>0</v>
      </c>
      <c r="C225" s="5">
        <v>0</v>
      </c>
      <c r="D225" s="5">
        <v>1</v>
      </c>
      <c r="E225" s="5">
        <v>210</v>
      </c>
      <c r="F225" s="5">
        <f>ROUND(Source!X199,O225)</f>
        <v>1451.67</v>
      </c>
      <c r="G225" s="5" t="s">
        <v>106</v>
      </c>
      <c r="H225" s="5" t="s">
        <v>107</v>
      </c>
      <c r="I225" s="5"/>
      <c r="J225" s="5"/>
      <c r="K225" s="5">
        <v>210</v>
      </c>
      <c r="L225" s="5">
        <v>25</v>
      </c>
      <c r="M225" s="5">
        <v>3</v>
      </c>
      <c r="N225" s="5" t="s">
        <v>3</v>
      </c>
      <c r="O225" s="5">
        <v>2</v>
      </c>
      <c r="P225" s="5">
        <f>ROUND(Source!DP199,O225)</f>
        <v>54205.13</v>
      </c>
      <c r="Q225" s="5"/>
      <c r="R225" s="5"/>
      <c r="S225" s="5"/>
      <c r="T225" s="5"/>
      <c r="U225" s="5"/>
      <c r="V225" s="5"/>
      <c r="W225" s="5">
        <v>1451.67</v>
      </c>
      <c r="X225" s="5">
        <v>1</v>
      </c>
      <c r="Y225" s="5">
        <v>1451.67</v>
      </c>
      <c r="Z225" s="5">
        <v>54205.13</v>
      </c>
      <c r="AA225" s="5">
        <v>1</v>
      </c>
      <c r="AB225" s="5">
        <v>54205.13</v>
      </c>
    </row>
    <row r="226" spans="1:28" ht="12.75">
      <c r="A226" s="5">
        <v>50</v>
      </c>
      <c r="B226" s="5">
        <v>0</v>
      </c>
      <c r="C226" s="5">
        <v>0</v>
      </c>
      <c r="D226" s="5">
        <v>1</v>
      </c>
      <c r="E226" s="5">
        <v>211</v>
      </c>
      <c r="F226" s="5">
        <f>ROUND(Source!Y199,O226)</f>
        <v>758.35</v>
      </c>
      <c r="G226" s="5" t="s">
        <v>108</v>
      </c>
      <c r="H226" s="5" t="s">
        <v>109</v>
      </c>
      <c r="I226" s="5"/>
      <c r="J226" s="5"/>
      <c r="K226" s="5">
        <v>211</v>
      </c>
      <c r="L226" s="5">
        <v>26</v>
      </c>
      <c r="M226" s="5">
        <v>3</v>
      </c>
      <c r="N226" s="5" t="s">
        <v>3</v>
      </c>
      <c r="O226" s="5">
        <v>2</v>
      </c>
      <c r="P226" s="5">
        <f>ROUND(Source!DQ199,O226)</f>
        <v>28317.68</v>
      </c>
      <c r="Q226" s="5"/>
      <c r="R226" s="5"/>
      <c r="S226" s="5"/>
      <c r="T226" s="5"/>
      <c r="U226" s="5"/>
      <c r="V226" s="5"/>
      <c r="W226" s="5">
        <v>758.35</v>
      </c>
      <c r="X226" s="5">
        <v>1</v>
      </c>
      <c r="Y226" s="5">
        <v>758.35</v>
      </c>
      <c r="Z226" s="5">
        <v>28317.68</v>
      </c>
      <c r="AA226" s="5">
        <v>1</v>
      </c>
      <c r="AB226" s="5">
        <v>28317.68</v>
      </c>
    </row>
    <row r="227" spans="1:28" ht="12.75">
      <c r="A227" s="5">
        <v>50</v>
      </c>
      <c r="B227" s="5">
        <v>0</v>
      </c>
      <c r="C227" s="5">
        <v>0</v>
      </c>
      <c r="D227" s="5">
        <v>1</v>
      </c>
      <c r="E227" s="5">
        <v>0</v>
      </c>
      <c r="F227" s="5">
        <f>ROUND(Source!AR199,O227)</f>
        <v>25932.26</v>
      </c>
      <c r="G227" s="5" t="s">
        <v>110</v>
      </c>
      <c r="H227" s="5" t="s">
        <v>111</v>
      </c>
      <c r="I227" s="5"/>
      <c r="J227" s="5"/>
      <c r="K227" s="5">
        <v>224</v>
      </c>
      <c r="L227" s="5">
        <v>27</v>
      </c>
      <c r="M227" s="5">
        <v>3</v>
      </c>
      <c r="N227" s="5" t="s">
        <v>3</v>
      </c>
      <c r="O227" s="5">
        <v>2</v>
      </c>
      <c r="P227" s="5">
        <f>ROUND(Source!EJ199,O227)</f>
        <v>293076.35</v>
      </c>
      <c r="Q227" s="5"/>
      <c r="R227" s="5"/>
      <c r="S227" s="5"/>
      <c r="T227" s="5"/>
      <c r="U227" s="5"/>
      <c r="V227" s="5"/>
      <c r="W227" s="5">
        <v>25932.260000000002</v>
      </c>
      <c r="X227" s="5">
        <v>1</v>
      </c>
      <c r="Y227" s="5">
        <v>25932.260000000002</v>
      </c>
      <c r="Z227" s="5">
        <v>293076.35</v>
      </c>
      <c r="AA227" s="5">
        <v>1</v>
      </c>
      <c r="AB227" s="5">
        <v>293076.35</v>
      </c>
    </row>
    <row r="228" spans="1:28" ht="12.75">
      <c r="A228" s="5">
        <v>50</v>
      </c>
      <c r="B228" s="5">
        <v>0</v>
      </c>
      <c r="C228" s="5">
        <v>0</v>
      </c>
      <c r="D228" s="5">
        <v>2</v>
      </c>
      <c r="E228" s="5">
        <v>0</v>
      </c>
      <c r="F228" s="5">
        <f>ROUND(F227*0.2,O228)</f>
        <v>5186.45</v>
      </c>
      <c r="G228" s="5" t="s">
        <v>191</v>
      </c>
      <c r="H228" s="5" t="s">
        <v>192</v>
      </c>
      <c r="I228" s="5"/>
      <c r="J228" s="5"/>
      <c r="K228" s="5">
        <v>212</v>
      </c>
      <c r="L228" s="5">
        <v>28</v>
      </c>
      <c r="M228" s="5">
        <v>3</v>
      </c>
      <c r="N228" s="5" t="s">
        <v>3</v>
      </c>
      <c r="O228" s="5">
        <v>2</v>
      </c>
      <c r="P228" s="5">
        <f>ROUND(P227*0.2,O228)</f>
        <v>58615.27</v>
      </c>
      <c r="Q228" s="5"/>
      <c r="R228" s="5"/>
      <c r="S228" s="5"/>
      <c r="T228" s="5"/>
      <c r="U228" s="5"/>
      <c r="V228" s="5"/>
      <c r="W228" s="5">
        <v>5186.45</v>
      </c>
      <c r="X228" s="5">
        <v>1</v>
      </c>
      <c r="Y228" s="5">
        <v>5186.45</v>
      </c>
      <c r="Z228" s="5">
        <v>58615.27</v>
      </c>
      <c r="AA228" s="5">
        <v>1</v>
      </c>
      <c r="AB228" s="5">
        <v>58615.27</v>
      </c>
    </row>
    <row r="229" spans="1:28" ht="12.75">
      <c r="A229" s="5">
        <v>50</v>
      </c>
      <c r="B229" s="5">
        <v>0</v>
      </c>
      <c r="C229" s="5">
        <v>0</v>
      </c>
      <c r="D229" s="5">
        <v>2</v>
      </c>
      <c r="E229" s="5">
        <v>224</v>
      </c>
      <c r="F229" s="5">
        <f>F227+F228</f>
        <v>31118.71</v>
      </c>
      <c r="G229" s="5" t="s">
        <v>195</v>
      </c>
      <c r="H229" s="5" t="s">
        <v>196</v>
      </c>
      <c r="I229" s="5"/>
      <c r="J229" s="5"/>
      <c r="K229" s="5">
        <v>212</v>
      </c>
      <c r="L229" s="5">
        <v>29</v>
      </c>
      <c r="M229" s="5">
        <v>3</v>
      </c>
      <c r="N229" s="5" t="s">
        <v>3</v>
      </c>
      <c r="O229" s="5">
        <v>-1</v>
      </c>
      <c r="P229" s="5">
        <f>P227+P228</f>
        <v>351691.62</v>
      </c>
      <c r="Q229" s="5"/>
      <c r="R229" s="5"/>
      <c r="S229" s="5"/>
      <c r="T229" s="5"/>
      <c r="U229" s="5"/>
      <c r="V229" s="5"/>
      <c r="W229" s="5">
        <v>31118.71</v>
      </c>
      <c r="X229" s="5">
        <v>1</v>
      </c>
      <c r="Y229" s="5">
        <v>31118.71</v>
      </c>
      <c r="Z229" s="5">
        <v>351691.62</v>
      </c>
      <c r="AA229" s="5">
        <v>1</v>
      </c>
      <c r="AB229" s="5">
        <v>351691.62</v>
      </c>
    </row>
    <row r="231" spans="1:8" ht="12.75">
      <c r="A231" s="6">
        <v>61</v>
      </c>
      <c r="B231" s="6"/>
      <c r="C231" s="6"/>
      <c r="D231" s="6"/>
      <c r="E231" s="6"/>
      <c r="F231" s="6">
        <v>3</v>
      </c>
      <c r="G231" s="6" t="s">
        <v>197</v>
      </c>
      <c r="H231" s="6" t="s">
        <v>198</v>
      </c>
    </row>
    <row r="232" spans="1:8" ht="12.75">
      <c r="A232" s="6">
        <v>61</v>
      </c>
      <c r="B232" s="6"/>
      <c r="C232" s="6"/>
      <c r="D232" s="6"/>
      <c r="E232" s="6"/>
      <c r="F232" s="6">
        <v>2</v>
      </c>
      <c r="G232" s="6" t="s">
        <v>199</v>
      </c>
      <c r="H232" s="6" t="s">
        <v>198</v>
      </c>
    </row>
    <row r="233" spans="1:8" ht="12.75">
      <c r="A233" s="6">
        <v>61</v>
      </c>
      <c r="B233" s="6"/>
      <c r="C233" s="6"/>
      <c r="D233" s="6"/>
      <c r="E233" s="6"/>
      <c r="F233" s="6">
        <v>1</v>
      </c>
      <c r="G233" s="6" t="s">
        <v>200</v>
      </c>
      <c r="H233" s="6" t="s">
        <v>198</v>
      </c>
    </row>
    <row r="236" spans="1:16" ht="12.75">
      <c r="A236">
        <v>70</v>
      </c>
      <c r="B236">
        <v>1</v>
      </c>
      <c r="D236">
        <v>1</v>
      </c>
      <c r="E236" t="s">
        <v>201</v>
      </c>
      <c r="F236" t="s">
        <v>202</v>
      </c>
      <c r="G236">
        <v>0</v>
      </c>
      <c r="H236">
        <v>0</v>
      </c>
      <c r="J236">
        <v>1</v>
      </c>
      <c r="K236">
        <v>0</v>
      </c>
      <c r="N236">
        <v>0</v>
      </c>
      <c r="O236">
        <v>0</v>
      </c>
      <c r="P236" t="s">
        <v>203</v>
      </c>
    </row>
    <row r="237" spans="1:16" ht="12.75">
      <c r="A237">
        <v>70</v>
      </c>
      <c r="B237">
        <v>1</v>
      </c>
      <c r="D237">
        <v>2</v>
      </c>
      <c r="E237" t="s">
        <v>204</v>
      </c>
      <c r="F237" t="s">
        <v>205</v>
      </c>
      <c r="G237">
        <v>1</v>
      </c>
      <c r="H237">
        <v>0</v>
      </c>
      <c r="J237">
        <v>1</v>
      </c>
      <c r="K237">
        <v>0</v>
      </c>
      <c r="N237">
        <v>0</v>
      </c>
      <c r="O237">
        <v>1</v>
      </c>
      <c r="P237" t="s">
        <v>206</v>
      </c>
    </row>
    <row r="238" spans="1:16" ht="12.75">
      <c r="A238">
        <v>70</v>
      </c>
      <c r="B238">
        <v>1</v>
      </c>
      <c r="D238">
        <v>3</v>
      </c>
      <c r="E238" t="s">
        <v>207</v>
      </c>
      <c r="F238" t="s">
        <v>208</v>
      </c>
      <c r="G238">
        <v>0</v>
      </c>
      <c r="H238">
        <v>0</v>
      </c>
      <c r="J238">
        <v>1</v>
      </c>
      <c r="K238">
        <v>0</v>
      </c>
      <c r="N238">
        <v>0</v>
      </c>
      <c r="O238">
        <v>0</v>
      </c>
      <c r="P238" t="s">
        <v>209</v>
      </c>
    </row>
    <row r="239" spans="1:16" ht="12.75">
      <c r="A239">
        <v>70</v>
      </c>
      <c r="B239">
        <v>1</v>
      </c>
      <c r="D239">
        <v>4</v>
      </c>
      <c r="E239" t="s">
        <v>210</v>
      </c>
      <c r="F239" t="s">
        <v>211</v>
      </c>
      <c r="G239">
        <v>1</v>
      </c>
      <c r="H239">
        <v>0</v>
      </c>
      <c r="J239">
        <v>2</v>
      </c>
      <c r="K239">
        <v>0</v>
      </c>
      <c r="N239">
        <v>0</v>
      </c>
      <c r="O239">
        <v>1</v>
      </c>
    </row>
    <row r="240" spans="1:16" ht="12.75">
      <c r="A240">
        <v>70</v>
      </c>
      <c r="B240">
        <v>1</v>
      </c>
      <c r="D240">
        <v>5</v>
      </c>
      <c r="E240" t="s">
        <v>212</v>
      </c>
      <c r="F240" t="s">
        <v>213</v>
      </c>
      <c r="G240">
        <v>0</v>
      </c>
      <c r="H240">
        <v>0</v>
      </c>
      <c r="J240">
        <v>2</v>
      </c>
      <c r="K240">
        <v>0</v>
      </c>
      <c r="N240">
        <v>0</v>
      </c>
      <c r="O240">
        <v>0</v>
      </c>
    </row>
    <row r="241" spans="1:16" ht="12.75">
      <c r="A241">
        <v>70</v>
      </c>
      <c r="B241">
        <v>1</v>
      </c>
      <c r="D241">
        <v>6</v>
      </c>
      <c r="E241" t="s">
        <v>214</v>
      </c>
      <c r="F241" t="s">
        <v>215</v>
      </c>
      <c r="G241">
        <v>0</v>
      </c>
      <c r="H241">
        <v>0</v>
      </c>
      <c r="J241">
        <v>2</v>
      </c>
      <c r="K241">
        <v>0</v>
      </c>
      <c r="N241">
        <v>0</v>
      </c>
      <c r="O241">
        <v>0</v>
      </c>
    </row>
    <row r="242" spans="1:16" ht="12.75">
      <c r="A242">
        <v>70</v>
      </c>
      <c r="B242">
        <v>1</v>
      </c>
      <c r="D242">
        <v>7</v>
      </c>
      <c r="E242" t="s">
        <v>216</v>
      </c>
      <c r="F242" t="s">
        <v>217</v>
      </c>
      <c r="G242">
        <v>0</v>
      </c>
      <c r="H242">
        <v>0</v>
      </c>
      <c r="I242" t="s">
        <v>218</v>
      </c>
      <c r="J242">
        <v>0</v>
      </c>
      <c r="K242">
        <v>0</v>
      </c>
      <c r="N242">
        <v>0</v>
      </c>
      <c r="O242">
        <v>0</v>
      </c>
      <c r="P242" t="s">
        <v>219</v>
      </c>
    </row>
    <row r="243" spans="1:16" ht="12.75">
      <c r="A243">
        <v>70</v>
      </c>
      <c r="B243">
        <v>1</v>
      </c>
      <c r="D243">
        <v>8</v>
      </c>
      <c r="E243" t="s">
        <v>220</v>
      </c>
      <c r="F243" t="s">
        <v>221</v>
      </c>
      <c r="G243">
        <v>1</v>
      </c>
      <c r="H243">
        <v>0</v>
      </c>
      <c r="J243">
        <v>5</v>
      </c>
      <c r="K243">
        <v>0</v>
      </c>
      <c r="N243">
        <v>0</v>
      </c>
      <c r="O243">
        <v>1</v>
      </c>
    </row>
    <row r="244" spans="1:16" ht="12.75">
      <c r="A244">
        <v>70</v>
      </c>
      <c r="B244">
        <v>1</v>
      </c>
      <c r="D244">
        <v>9</v>
      </c>
      <c r="E244" t="s">
        <v>222</v>
      </c>
      <c r="F244" t="s">
        <v>223</v>
      </c>
      <c r="G244">
        <v>0</v>
      </c>
      <c r="H244">
        <v>0</v>
      </c>
      <c r="J244">
        <v>5</v>
      </c>
      <c r="K244">
        <v>0</v>
      </c>
      <c r="N244">
        <v>0</v>
      </c>
      <c r="O244">
        <v>0</v>
      </c>
    </row>
    <row r="245" spans="1:16" ht="12.75">
      <c r="A245">
        <v>70</v>
      </c>
      <c r="B245">
        <v>1</v>
      </c>
      <c r="D245">
        <v>10</v>
      </c>
      <c r="E245" t="s">
        <v>224</v>
      </c>
      <c r="F245" t="s">
        <v>225</v>
      </c>
      <c r="G245">
        <v>0</v>
      </c>
      <c r="H245">
        <v>0</v>
      </c>
      <c r="I245" t="s">
        <v>226</v>
      </c>
      <c r="J245">
        <v>5</v>
      </c>
      <c r="K245">
        <v>0</v>
      </c>
      <c r="N245">
        <v>0</v>
      </c>
      <c r="O245">
        <v>0</v>
      </c>
      <c r="P245" t="s">
        <v>227</v>
      </c>
    </row>
    <row r="246" spans="1:16" ht="12.75">
      <c r="A246">
        <v>70</v>
      </c>
      <c r="B246">
        <v>1</v>
      </c>
      <c r="D246">
        <v>11</v>
      </c>
      <c r="E246" t="s">
        <v>228</v>
      </c>
      <c r="F246" t="s">
        <v>229</v>
      </c>
      <c r="G246">
        <v>0</v>
      </c>
      <c r="H246">
        <v>0</v>
      </c>
      <c r="I246" t="s">
        <v>230</v>
      </c>
      <c r="J246">
        <v>0</v>
      </c>
      <c r="K246">
        <v>0</v>
      </c>
      <c r="N246">
        <v>0</v>
      </c>
      <c r="O246">
        <v>0</v>
      </c>
      <c r="P246" t="s">
        <v>231</v>
      </c>
    </row>
    <row r="247" spans="1:16" ht="12.75">
      <c r="A247">
        <v>70</v>
      </c>
      <c r="B247">
        <v>1</v>
      </c>
      <c r="D247">
        <v>12</v>
      </c>
      <c r="E247" t="s">
        <v>232</v>
      </c>
      <c r="F247" t="s">
        <v>233</v>
      </c>
      <c r="G247">
        <v>0</v>
      </c>
      <c r="H247">
        <v>0</v>
      </c>
      <c r="I247" t="s">
        <v>234</v>
      </c>
      <c r="J247">
        <v>0</v>
      </c>
      <c r="K247">
        <v>0</v>
      </c>
      <c r="N247">
        <v>0</v>
      </c>
      <c r="O247">
        <v>0</v>
      </c>
      <c r="P247" t="s">
        <v>235</v>
      </c>
    </row>
    <row r="248" spans="1:16" ht="12.75">
      <c r="A248">
        <v>70</v>
      </c>
      <c r="B248">
        <v>1</v>
      </c>
      <c r="D248">
        <v>13</v>
      </c>
      <c r="E248" t="s">
        <v>236</v>
      </c>
      <c r="F248" t="s">
        <v>237</v>
      </c>
      <c r="G248">
        <v>0</v>
      </c>
      <c r="H248">
        <v>0</v>
      </c>
      <c r="I248" t="s">
        <v>238</v>
      </c>
      <c r="J248">
        <v>0</v>
      </c>
      <c r="K248">
        <v>0</v>
      </c>
      <c r="N248">
        <v>0</v>
      </c>
      <c r="O248">
        <v>0</v>
      </c>
      <c r="P248" t="s">
        <v>239</v>
      </c>
    </row>
    <row r="249" spans="1:16" ht="12.75">
      <c r="A249">
        <v>70</v>
      </c>
      <c r="B249">
        <v>1</v>
      </c>
      <c r="D249">
        <v>14</v>
      </c>
      <c r="E249" t="s">
        <v>240</v>
      </c>
      <c r="F249" t="s">
        <v>241</v>
      </c>
      <c r="G249">
        <v>0</v>
      </c>
      <c r="H249">
        <v>0</v>
      </c>
      <c r="J249">
        <v>0</v>
      </c>
      <c r="K249">
        <v>0</v>
      </c>
      <c r="N249">
        <v>0</v>
      </c>
      <c r="O249">
        <v>0</v>
      </c>
      <c r="P249" t="s">
        <v>242</v>
      </c>
    </row>
    <row r="250" spans="1:16" ht="12.75">
      <c r="A250">
        <v>70</v>
      </c>
      <c r="B250">
        <v>1</v>
      </c>
      <c r="D250">
        <v>15</v>
      </c>
      <c r="E250" t="s">
        <v>243</v>
      </c>
      <c r="F250" t="s">
        <v>244</v>
      </c>
      <c r="G250">
        <v>0</v>
      </c>
      <c r="H250">
        <v>0</v>
      </c>
      <c r="J250">
        <v>3</v>
      </c>
      <c r="K250">
        <v>0</v>
      </c>
      <c r="N250">
        <v>0</v>
      </c>
      <c r="O250">
        <v>0</v>
      </c>
    </row>
    <row r="251" spans="1:16" ht="12.75">
      <c r="A251">
        <v>70</v>
      </c>
      <c r="B251">
        <v>1</v>
      </c>
      <c r="D251">
        <v>16</v>
      </c>
      <c r="E251" t="s">
        <v>245</v>
      </c>
      <c r="F251" t="s">
        <v>246</v>
      </c>
      <c r="G251">
        <v>1</v>
      </c>
      <c r="H251">
        <v>0</v>
      </c>
      <c r="J251">
        <v>3</v>
      </c>
      <c r="K251">
        <v>0</v>
      </c>
      <c r="N251">
        <v>0</v>
      </c>
      <c r="O251">
        <v>1</v>
      </c>
    </row>
    <row r="252" spans="1:16" ht="12.75">
      <c r="A252">
        <v>70</v>
      </c>
      <c r="B252">
        <v>1</v>
      </c>
      <c r="D252">
        <v>1</v>
      </c>
      <c r="E252" t="s">
        <v>247</v>
      </c>
      <c r="F252" t="s">
        <v>248</v>
      </c>
      <c r="G252">
        <v>0.9</v>
      </c>
      <c r="H252">
        <v>1</v>
      </c>
      <c r="I252" t="s">
        <v>249</v>
      </c>
      <c r="J252">
        <v>0</v>
      </c>
      <c r="K252">
        <v>0</v>
      </c>
      <c r="N252">
        <v>0</v>
      </c>
      <c r="O252">
        <v>0.9</v>
      </c>
      <c r="P252" t="s">
        <v>250</v>
      </c>
    </row>
    <row r="253" spans="1:16" ht="12.75">
      <c r="A253">
        <v>70</v>
      </c>
      <c r="B253">
        <v>1</v>
      </c>
      <c r="D253">
        <v>2</v>
      </c>
      <c r="E253" t="s">
        <v>251</v>
      </c>
      <c r="F253" t="s">
        <v>252</v>
      </c>
      <c r="G253">
        <v>0.85</v>
      </c>
      <c r="H253">
        <v>1</v>
      </c>
      <c r="I253" t="s">
        <v>253</v>
      </c>
      <c r="J253">
        <v>0</v>
      </c>
      <c r="K253">
        <v>0</v>
      </c>
      <c r="N253">
        <v>0</v>
      </c>
      <c r="O253">
        <v>0.85</v>
      </c>
      <c r="P253" t="s">
        <v>254</v>
      </c>
    </row>
    <row r="254" spans="1:16" ht="12.75">
      <c r="A254">
        <v>70</v>
      </c>
      <c r="B254">
        <v>1</v>
      </c>
      <c r="D254">
        <v>3</v>
      </c>
      <c r="E254" t="s">
        <v>255</v>
      </c>
      <c r="F254" t="s">
        <v>256</v>
      </c>
      <c r="G254">
        <v>1.03</v>
      </c>
      <c r="H254">
        <v>0</v>
      </c>
      <c r="J254">
        <v>0</v>
      </c>
      <c r="K254">
        <v>0</v>
      </c>
      <c r="N254">
        <v>0</v>
      </c>
      <c r="O254">
        <v>1.03</v>
      </c>
      <c r="P254" t="s">
        <v>257</v>
      </c>
    </row>
    <row r="255" spans="1:16" ht="12.75">
      <c r="A255">
        <v>70</v>
      </c>
      <c r="B255">
        <v>1</v>
      </c>
      <c r="D255">
        <v>4</v>
      </c>
      <c r="E255" t="s">
        <v>258</v>
      </c>
      <c r="F255" t="s">
        <v>259</v>
      </c>
      <c r="G255">
        <v>1.15</v>
      </c>
      <c r="H255">
        <v>0</v>
      </c>
      <c r="J255">
        <v>0</v>
      </c>
      <c r="K255">
        <v>0</v>
      </c>
      <c r="N255">
        <v>0</v>
      </c>
      <c r="O255">
        <v>1.15</v>
      </c>
      <c r="P255" t="s">
        <v>260</v>
      </c>
    </row>
    <row r="256" spans="1:16" ht="12.75">
      <c r="A256">
        <v>70</v>
      </c>
      <c r="B256">
        <v>1</v>
      </c>
      <c r="D256">
        <v>5</v>
      </c>
      <c r="E256" t="s">
        <v>261</v>
      </c>
      <c r="F256" t="s">
        <v>262</v>
      </c>
      <c r="G256">
        <v>7</v>
      </c>
      <c r="H256">
        <v>0</v>
      </c>
      <c r="J256">
        <v>0</v>
      </c>
      <c r="K256">
        <v>0</v>
      </c>
      <c r="N256">
        <v>0</v>
      </c>
      <c r="O256">
        <v>7</v>
      </c>
    </row>
    <row r="257" spans="1:16" ht="12.75">
      <c r="A257">
        <v>70</v>
      </c>
      <c r="B257">
        <v>1</v>
      </c>
      <c r="D257">
        <v>6</v>
      </c>
      <c r="E257" t="s">
        <v>263</v>
      </c>
      <c r="G257">
        <v>2</v>
      </c>
      <c r="H257">
        <v>0</v>
      </c>
      <c r="J257">
        <v>0</v>
      </c>
      <c r="K257">
        <v>0</v>
      </c>
      <c r="N257">
        <v>0</v>
      </c>
      <c r="O257">
        <v>2</v>
      </c>
    </row>
    <row r="259" ht="12.75">
      <c r="A259">
        <v>-1</v>
      </c>
    </row>
    <row r="261" spans="1:15" ht="12.75">
      <c r="A261" s="4">
        <v>75</v>
      </c>
      <c r="B261" s="4" t="s">
        <v>264</v>
      </c>
      <c r="C261" s="4">
        <v>2000</v>
      </c>
      <c r="D261" s="4">
        <v>0</v>
      </c>
      <c r="E261" s="4">
        <v>1</v>
      </c>
      <c r="F261" s="4">
        <v>0</v>
      </c>
      <c r="G261" s="4">
        <v>0</v>
      </c>
      <c r="H261" s="4">
        <v>1</v>
      </c>
      <c r="I261" s="4">
        <v>0</v>
      </c>
      <c r="J261" s="4">
        <v>1</v>
      </c>
      <c r="K261" s="4">
        <v>0</v>
      </c>
      <c r="L261" s="4">
        <v>0</v>
      </c>
      <c r="M261" s="4">
        <v>0</v>
      </c>
      <c r="N261" s="4">
        <v>55655398</v>
      </c>
      <c r="O261" s="4">
        <v>1</v>
      </c>
    </row>
    <row r="262" spans="1:15" ht="12.75">
      <c r="A262" s="4">
        <v>75</v>
      </c>
      <c r="B262" s="4" t="s">
        <v>265</v>
      </c>
      <c r="C262" s="4">
        <v>2023</v>
      </c>
      <c r="D262" s="4">
        <v>3</v>
      </c>
      <c r="E262" s="4">
        <v>0</v>
      </c>
      <c r="F262" s="4"/>
      <c r="G262" s="4">
        <v>0</v>
      </c>
      <c r="H262" s="4">
        <v>1</v>
      </c>
      <c r="I262" s="4">
        <v>0</v>
      </c>
      <c r="J262" s="4">
        <v>1</v>
      </c>
      <c r="K262" s="4">
        <v>0</v>
      </c>
      <c r="L262" s="4">
        <v>0</v>
      </c>
      <c r="M262" s="4">
        <v>1</v>
      </c>
      <c r="N262" s="4">
        <v>55655399</v>
      </c>
      <c r="O262" s="4">
        <v>2</v>
      </c>
    </row>
    <row r="263" spans="1:40" ht="12.75">
      <c r="A263" s="7">
        <v>3</v>
      </c>
      <c r="B263" s="7" t="s">
        <v>266</v>
      </c>
      <c r="C263" s="7">
        <v>1</v>
      </c>
      <c r="D263" s="7">
        <v>6.72</v>
      </c>
      <c r="E263" s="7">
        <v>13.24</v>
      </c>
      <c r="F263" s="7">
        <v>37.34</v>
      </c>
      <c r="G263" s="7">
        <v>37.34</v>
      </c>
      <c r="H263" s="7">
        <v>1</v>
      </c>
      <c r="I263" s="7">
        <v>1</v>
      </c>
      <c r="J263" s="7">
        <v>2</v>
      </c>
      <c r="K263" s="7">
        <v>1</v>
      </c>
      <c r="L263" s="7">
        <v>13.24</v>
      </c>
      <c r="M263" s="7">
        <v>1</v>
      </c>
      <c r="N263" s="7">
        <v>6.72</v>
      </c>
      <c r="O263" s="7">
        <v>1</v>
      </c>
      <c r="P263" s="7">
        <v>1</v>
      </c>
      <c r="Q263" s="7">
        <v>1</v>
      </c>
      <c r="R263" s="7">
        <v>13.24</v>
      </c>
      <c r="S263" s="7" t="s">
        <v>34</v>
      </c>
      <c r="T263" s="7" t="s">
        <v>3</v>
      </c>
      <c r="U263" s="7" t="s">
        <v>3</v>
      </c>
      <c r="V263" s="7" t="s">
        <v>3</v>
      </c>
      <c r="W263" s="7" t="s">
        <v>3</v>
      </c>
      <c r="X263" s="7" t="s">
        <v>3</v>
      </c>
      <c r="Y263" s="7" t="s">
        <v>3</v>
      </c>
      <c r="Z263" s="7" t="s">
        <v>3</v>
      </c>
      <c r="AA263" s="7" t="s">
        <v>3</v>
      </c>
      <c r="AB263" s="7" t="s">
        <v>3</v>
      </c>
      <c r="AC263" s="7" t="s">
        <v>3</v>
      </c>
      <c r="AD263" s="7" t="s">
        <v>3</v>
      </c>
      <c r="AE263" s="7" t="s">
        <v>3</v>
      </c>
      <c r="AF263" s="7" t="s">
        <v>3</v>
      </c>
      <c r="AG263" s="7" t="s">
        <v>3</v>
      </c>
      <c r="AH263" s="7" t="s">
        <v>3</v>
      </c>
      <c r="AI263" s="7"/>
      <c r="AJ263" s="7"/>
      <c r="AK263" s="7"/>
      <c r="AL263" s="7"/>
      <c r="AM263" s="7"/>
      <c r="AN263" s="7">
        <v>55655400</v>
      </c>
    </row>
    <row r="267" spans="1:5" ht="12.75">
      <c r="A267">
        <v>65</v>
      </c>
      <c r="C267">
        <v>1</v>
      </c>
      <c r="D267">
        <v>0</v>
      </c>
      <c r="E267">
        <v>245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C5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7" ht="12.75">
      <c r="A1">
        <v>0</v>
      </c>
      <c r="B1" t="s">
        <v>0</v>
      </c>
      <c r="D1" t="s">
        <v>267</v>
      </c>
      <c r="F1">
        <v>0</v>
      </c>
      <c r="G1">
        <v>0</v>
      </c>
      <c r="H1">
        <v>0</v>
      </c>
      <c r="I1" t="s">
        <v>2</v>
      </c>
      <c r="K1">
        <v>1</v>
      </c>
      <c r="L1">
        <v>58091</v>
      </c>
      <c r="M1">
        <v>10</v>
      </c>
      <c r="N1">
        <v>11</v>
      </c>
      <c r="O1">
        <v>5</v>
      </c>
      <c r="P1">
        <v>3</v>
      </c>
      <c r="Q1">
        <v>2</v>
      </c>
    </row>
    <row r="12" spans="1:133" ht="12.75">
      <c r="A12" s="1">
        <v>1</v>
      </c>
      <c r="B12" s="1">
        <v>53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131083</v>
      </c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4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3</v>
      </c>
      <c r="AG12" s="1" t="s">
        <v>3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>
        <v>2</v>
      </c>
      <c r="BC12" s="1"/>
      <c r="BD12" s="1"/>
      <c r="BE12" s="1"/>
      <c r="BF12" s="1"/>
      <c r="BG12" s="1"/>
      <c r="BH12" s="1" t="s">
        <v>12</v>
      </c>
      <c r="BI12" s="1" t="s">
        <v>13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14</v>
      </c>
      <c r="BZ12" s="1" t="s">
        <v>15</v>
      </c>
      <c r="CA12" s="1" t="s">
        <v>16</v>
      </c>
      <c r="CB12" s="1" t="s">
        <v>16</v>
      </c>
      <c r="CC12" s="1" t="s">
        <v>16</v>
      </c>
      <c r="CD12" s="1" t="s">
        <v>16</v>
      </c>
      <c r="CE12" s="1" t="s">
        <v>17</v>
      </c>
      <c r="CF12" s="1">
        <v>0</v>
      </c>
      <c r="CG12" s="1">
        <v>0</v>
      </c>
      <c r="CH12" s="1">
        <v>403374088</v>
      </c>
      <c r="CI12" s="1" t="s">
        <v>3</v>
      </c>
      <c r="CJ12" s="1" t="s">
        <v>3</v>
      </c>
      <c r="CK12" s="1">
        <v>9</v>
      </c>
      <c r="CL12" s="1"/>
      <c r="CM12" s="1"/>
      <c r="CN12" s="1"/>
      <c r="CO12" s="1"/>
      <c r="CP12" s="1"/>
      <c r="CQ12" s="1" t="s">
        <v>349</v>
      </c>
      <c r="CR12" s="1" t="s">
        <v>18</v>
      </c>
      <c r="CS12" s="1">
        <v>44551</v>
      </c>
      <c r="CT12" s="1">
        <v>395</v>
      </c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5" ht="12.75">
      <c r="A14" s="1">
        <v>22</v>
      </c>
      <c r="B14" s="1">
        <v>1</v>
      </c>
      <c r="C14" s="1">
        <v>0</v>
      </c>
      <c r="D14" s="1">
        <v>55655398</v>
      </c>
      <c r="E14" s="1">
        <v>55655399</v>
      </c>
      <c r="F14" s="1">
        <v>2</v>
      </c>
      <c r="G14" s="1">
        <v>1</v>
      </c>
      <c r="H14" s="1"/>
      <c r="I14" s="1"/>
      <c r="J14" s="1"/>
      <c r="K14" s="1"/>
      <c r="L14" s="1"/>
      <c r="M14" s="1"/>
      <c r="N14" s="1"/>
      <c r="O14" s="1"/>
    </row>
    <row r="16" spans="1:87" ht="12.75">
      <c r="A16" s="8">
        <v>3</v>
      </c>
      <c r="B16" s="8">
        <v>0</v>
      </c>
      <c r="C16" s="8" t="s">
        <v>3</v>
      </c>
      <c r="D16" s="8" t="s">
        <v>3</v>
      </c>
      <c r="E16" s="9">
        <f>ROUND((Source!F184)/1000,2)</f>
        <v>25.93</v>
      </c>
      <c r="F16" s="9">
        <f>ROUND((Source!F185)/1000,2)</f>
        <v>0</v>
      </c>
      <c r="G16" s="9">
        <f>ROUND((Source!F176)/1000,2)</f>
        <v>0</v>
      </c>
      <c r="H16" s="9">
        <f>ROUND((Source!F186)/1000+(Source!F187)/1000,2)</f>
        <v>0</v>
      </c>
      <c r="I16" s="9">
        <f>E16+F16+G16+H16</f>
        <v>25.93</v>
      </c>
      <c r="J16" s="9">
        <f>ROUND((Source!F182+Source!F181)/1000,2)</f>
        <v>1.47</v>
      </c>
      <c r="T16" s="10">
        <f>ROUND((Source!P184)/1000,2)</f>
        <v>293.08</v>
      </c>
      <c r="U16" s="10">
        <f>ROUND((Source!P185)/1000,2)</f>
        <v>0</v>
      </c>
      <c r="V16" s="10">
        <f>ROUND((Source!P176)/1000,2)</f>
        <v>0</v>
      </c>
      <c r="W16" s="10">
        <f>ROUND((Source!P186)/1000+(Source!P187)/1000,2)</f>
        <v>0</v>
      </c>
      <c r="X16" s="10">
        <f>T16+U16+V16+W16</f>
        <v>293.08</v>
      </c>
      <c r="Y16" s="10">
        <f>ROUND((Source!P182+Source!P181)/1000,2)</f>
        <v>54.77</v>
      </c>
      <c r="AI16" s="8">
        <v>0</v>
      </c>
      <c r="AJ16" s="8">
        <v>-1</v>
      </c>
      <c r="AK16" s="8" t="s">
        <v>3</v>
      </c>
      <c r="AL16" s="8" t="s">
        <v>3</v>
      </c>
      <c r="AM16" s="8" t="s">
        <v>3</v>
      </c>
      <c r="AN16" s="8">
        <v>0</v>
      </c>
      <c r="AO16" s="8" t="s">
        <v>3</v>
      </c>
      <c r="AP16" s="8" t="s">
        <v>3</v>
      </c>
      <c r="AT16" s="9">
        <v>23722.24</v>
      </c>
      <c r="AU16" s="9">
        <v>21063.09</v>
      </c>
      <c r="AV16" s="9">
        <v>0</v>
      </c>
      <c r="AW16" s="9">
        <v>0</v>
      </c>
      <c r="AX16" s="9">
        <v>0</v>
      </c>
      <c r="AY16" s="9">
        <v>511.41999999999996</v>
      </c>
      <c r="AZ16" s="9">
        <v>64.34</v>
      </c>
      <c r="BA16" s="9">
        <v>1402.58</v>
      </c>
      <c r="BB16" s="9">
        <v>25932.26</v>
      </c>
      <c r="BC16" s="9">
        <v>0</v>
      </c>
      <c r="BD16" s="9">
        <v>0</v>
      </c>
      <c r="BE16" s="9">
        <v>0</v>
      </c>
      <c r="BF16" s="9">
        <v>165.13559</v>
      </c>
      <c r="BG16" s="9">
        <v>5.29649</v>
      </c>
      <c r="BH16" s="9">
        <v>0</v>
      </c>
      <c r="BI16" s="9">
        <v>1451.67</v>
      </c>
      <c r="BJ16" s="9">
        <v>758.35</v>
      </c>
      <c r="BK16" s="9">
        <v>31118.71</v>
      </c>
      <c r="BR16" s="10">
        <v>210553.54</v>
      </c>
      <c r="BS16" s="10">
        <v>141543.84</v>
      </c>
      <c r="BT16" s="10">
        <v>0</v>
      </c>
      <c r="BU16" s="10">
        <v>0</v>
      </c>
      <c r="BV16" s="10">
        <v>0</v>
      </c>
      <c r="BW16" s="10">
        <v>6771.909999999999</v>
      </c>
      <c r="BX16" s="10">
        <v>2402.73</v>
      </c>
      <c r="BY16" s="10">
        <v>52372.04</v>
      </c>
      <c r="BZ16" s="10">
        <v>293076.35</v>
      </c>
      <c r="CA16" s="10">
        <v>0</v>
      </c>
      <c r="CB16" s="10">
        <v>0</v>
      </c>
      <c r="CC16" s="10">
        <v>0</v>
      </c>
      <c r="CD16" s="10">
        <v>165.13559</v>
      </c>
      <c r="CE16" s="10">
        <v>5.29649</v>
      </c>
      <c r="CF16" s="10">
        <v>0</v>
      </c>
      <c r="CG16" s="10">
        <v>54205.13</v>
      </c>
      <c r="CH16" s="10">
        <v>28317.68</v>
      </c>
      <c r="CI16" s="10">
        <v>351691.62</v>
      </c>
    </row>
    <row r="18" spans="1:40" ht="12.75">
      <c r="A18">
        <v>51</v>
      </c>
      <c r="E18" s="6">
        <f>SUMIF(A16:A17,3,E16:E17)</f>
        <v>25.93</v>
      </c>
      <c r="F18" s="6">
        <f>SUMIF(A16:A17,3,F16:F17)</f>
        <v>0</v>
      </c>
      <c r="G18" s="6">
        <f>SUMIF(A16:A17,3,G16:G17)</f>
        <v>0</v>
      </c>
      <c r="H18" s="6">
        <f>SUMIF(A16:A17,3,H16:H17)</f>
        <v>0</v>
      </c>
      <c r="I18" s="6">
        <f>SUMIF(A16:A17,3,I16:I17)</f>
        <v>25.93</v>
      </c>
      <c r="J18" s="6">
        <f>SUMIF(A16:A17,3,J16:J17)</f>
        <v>1.47</v>
      </c>
      <c r="K18" s="6"/>
      <c r="L18" s="6"/>
      <c r="M18" s="6"/>
      <c r="N18" s="6"/>
      <c r="O18" s="6"/>
      <c r="P18" s="6"/>
      <c r="Q18" s="6"/>
      <c r="R18" s="6"/>
      <c r="S18" s="6"/>
      <c r="T18" s="3">
        <f>SUMIF(A16:A17,3,T16:T17)</f>
        <v>293.08</v>
      </c>
      <c r="U18" s="3">
        <f>SUMIF(A16:A17,3,U16:U17)</f>
        <v>0</v>
      </c>
      <c r="V18" s="3">
        <f>SUMIF(A16:A17,3,V16:V17)</f>
        <v>0</v>
      </c>
      <c r="W18" s="3">
        <f>SUMIF(A16:A17,3,W16:W17)</f>
        <v>0</v>
      </c>
      <c r="X18" s="3">
        <f>SUMIF(A16:A17,3,X16:X17)</f>
        <v>293.08</v>
      </c>
      <c r="Y18" s="3">
        <f>SUMIF(A16:A17,3,Y16:Y17)</f>
        <v>54.77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16" ht="12.75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23722.24</v>
      </c>
      <c r="G20" s="5" t="s">
        <v>58</v>
      </c>
      <c r="H20" s="5" t="s">
        <v>59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210553.54</v>
      </c>
    </row>
    <row r="21" spans="1:16" ht="12.75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21063.09</v>
      </c>
      <c r="G21" s="5" t="s">
        <v>60</v>
      </c>
      <c r="H21" s="5" t="s">
        <v>61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141543.84</v>
      </c>
    </row>
    <row r="22" spans="1:16" ht="12.75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62</v>
      </c>
      <c r="H22" s="5" t="s">
        <v>63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16" ht="12.75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21063.09</v>
      </c>
      <c r="G23" s="5" t="s">
        <v>64</v>
      </c>
      <c r="H23" s="5" t="s">
        <v>65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141543.84</v>
      </c>
    </row>
    <row r="24" spans="1:16" ht="12.75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21063.09</v>
      </c>
      <c r="G24" s="5" t="s">
        <v>66</v>
      </c>
      <c r="H24" s="5" t="s">
        <v>67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141543.84</v>
      </c>
    </row>
    <row r="25" spans="1:16" ht="12.75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68</v>
      </c>
      <c r="H25" s="5" t="s">
        <v>69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16" ht="12.75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21063.09</v>
      </c>
      <c r="G26" s="5" t="s">
        <v>70</v>
      </c>
      <c r="H26" s="5" t="s">
        <v>71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141543.84</v>
      </c>
    </row>
    <row r="27" spans="1:16" ht="12.75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72</v>
      </c>
      <c r="H27" s="5" t="s">
        <v>73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16" ht="12.75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74</v>
      </c>
      <c r="H28" s="5" t="s">
        <v>75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16" ht="12.75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76</v>
      </c>
      <c r="H29" s="5" t="s">
        <v>77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16" ht="12.75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511.41999999999996</v>
      </c>
      <c r="G30" s="5" t="s">
        <v>78</v>
      </c>
      <c r="H30" s="5" t="s">
        <v>79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6771.909999999999</v>
      </c>
    </row>
    <row r="31" spans="1:16" ht="12.75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80</v>
      </c>
      <c r="H31" s="5" t="s">
        <v>81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16" ht="12.75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64.34</v>
      </c>
      <c r="G32" s="5" t="s">
        <v>82</v>
      </c>
      <c r="H32" s="5" t="s">
        <v>83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2402.73</v>
      </c>
    </row>
    <row r="33" spans="1:16" ht="12.75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1402.58</v>
      </c>
      <c r="G33" s="5" t="s">
        <v>84</v>
      </c>
      <c r="H33" s="5" t="s">
        <v>85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52372.04</v>
      </c>
    </row>
    <row r="34" spans="1:16" ht="12.75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86</v>
      </c>
      <c r="H34" s="5" t="s">
        <v>87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ht="12.75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25932.26</v>
      </c>
      <c r="G35" s="5" t="s">
        <v>88</v>
      </c>
      <c r="H35" s="5" t="s">
        <v>89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293076.35</v>
      </c>
    </row>
    <row r="36" spans="1:16" ht="12.75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0</v>
      </c>
      <c r="G36" s="5" t="s">
        <v>90</v>
      </c>
      <c r="H36" s="5" t="s">
        <v>91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0</v>
      </c>
    </row>
    <row r="37" spans="1:16" ht="12.75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0</v>
      </c>
      <c r="G37" s="5" t="s">
        <v>92</v>
      </c>
      <c r="H37" s="5" t="s">
        <v>93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0</v>
      </c>
    </row>
    <row r="38" spans="1:16" ht="12.75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94</v>
      </c>
      <c r="H38" s="5" t="s">
        <v>95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ht="12.75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96</v>
      </c>
      <c r="H39" s="5" t="s">
        <v>97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ht="12.75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165.13559</v>
      </c>
      <c r="G40" s="5" t="s">
        <v>98</v>
      </c>
      <c r="H40" s="5" t="s">
        <v>99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165.13559</v>
      </c>
    </row>
    <row r="41" spans="1:16" ht="12.75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5.29649</v>
      </c>
      <c r="G41" s="5" t="s">
        <v>100</v>
      </c>
      <c r="H41" s="5" t="s">
        <v>101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5.29649</v>
      </c>
    </row>
    <row r="42" spans="1:16" ht="12.75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102</v>
      </c>
      <c r="H42" s="5" t="s">
        <v>103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ht="12.75">
      <c r="A43" s="5">
        <v>50</v>
      </c>
      <c r="B43" s="5">
        <v>0</v>
      </c>
      <c r="C43" s="5">
        <v>0</v>
      </c>
      <c r="D43" s="5">
        <v>1</v>
      </c>
      <c r="E43" s="5">
        <v>233</v>
      </c>
      <c r="F43" s="5">
        <v>745.15</v>
      </c>
      <c r="G43" s="5" t="s">
        <v>104</v>
      </c>
      <c r="H43" s="5" t="s">
        <v>105</v>
      </c>
      <c r="I43" s="5"/>
      <c r="J43" s="5"/>
      <c r="K43" s="5">
        <v>233</v>
      </c>
      <c r="L43" s="5">
        <v>24</v>
      </c>
      <c r="M43" s="5">
        <v>3</v>
      </c>
      <c r="N43" s="5" t="s">
        <v>3</v>
      </c>
      <c r="O43" s="5">
        <v>2</v>
      </c>
      <c r="P43" s="5">
        <v>9865.75</v>
      </c>
    </row>
    <row r="44" spans="1:16" ht="12.75">
      <c r="A44" s="5">
        <v>50</v>
      </c>
      <c r="B44" s="5">
        <v>0</v>
      </c>
      <c r="C44" s="5">
        <v>0</v>
      </c>
      <c r="D44" s="5">
        <v>1</v>
      </c>
      <c r="E44" s="5">
        <v>210</v>
      </c>
      <c r="F44" s="5">
        <v>1451.67</v>
      </c>
      <c r="G44" s="5" t="s">
        <v>106</v>
      </c>
      <c r="H44" s="5" t="s">
        <v>107</v>
      </c>
      <c r="I44" s="5"/>
      <c r="J44" s="5"/>
      <c r="K44" s="5">
        <v>210</v>
      </c>
      <c r="L44" s="5">
        <v>25</v>
      </c>
      <c r="M44" s="5">
        <v>3</v>
      </c>
      <c r="N44" s="5" t="s">
        <v>3</v>
      </c>
      <c r="O44" s="5">
        <v>2</v>
      </c>
      <c r="P44" s="5">
        <v>54205.13</v>
      </c>
    </row>
    <row r="45" spans="1:16" ht="12.75">
      <c r="A45" s="5">
        <v>50</v>
      </c>
      <c r="B45" s="5">
        <v>0</v>
      </c>
      <c r="C45" s="5">
        <v>0</v>
      </c>
      <c r="D45" s="5">
        <v>1</v>
      </c>
      <c r="E45" s="5">
        <v>211</v>
      </c>
      <c r="F45" s="5">
        <v>758.35</v>
      </c>
      <c r="G45" s="5" t="s">
        <v>108</v>
      </c>
      <c r="H45" s="5" t="s">
        <v>109</v>
      </c>
      <c r="I45" s="5"/>
      <c r="J45" s="5"/>
      <c r="K45" s="5">
        <v>211</v>
      </c>
      <c r="L45" s="5">
        <v>26</v>
      </c>
      <c r="M45" s="5">
        <v>3</v>
      </c>
      <c r="N45" s="5" t="s">
        <v>3</v>
      </c>
      <c r="O45" s="5">
        <v>2</v>
      </c>
      <c r="P45" s="5">
        <v>28317.68</v>
      </c>
    </row>
    <row r="46" spans="1:16" ht="12.75">
      <c r="A46" s="5">
        <v>50</v>
      </c>
      <c r="B46" s="5">
        <v>0</v>
      </c>
      <c r="C46" s="5">
        <v>0</v>
      </c>
      <c r="D46" s="5">
        <v>1</v>
      </c>
      <c r="E46" s="5">
        <v>0</v>
      </c>
      <c r="F46" s="5">
        <v>25932.260000000002</v>
      </c>
      <c r="G46" s="5" t="s">
        <v>110</v>
      </c>
      <c r="H46" s="5" t="s">
        <v>111</v>
      </c>
      <c r="I46" s="5"/>
      <c r="J46" s="5"/>
      <c r="K46" s="5">
        <v>224</v>
      </c>
      <c r="L46" s="5">
        <v>27</v>
      </c>
      <c r="M46" s="5">
        <v>3</v>
      </c>
      <c r="N46" s="5" t="s">
        <v>3</v>
      </c>
      <c r="O46" s="5">
        <v>2</v>
      </c>
      <c r="P46" s="5">
        <v>293076.35</v>
      </c>
    </row>
    <row r="47" spans="1:16" ht="12.75">
      <c r="A47" s="5">
        <v>50</v>
      </c>
      <c r="B47" s="5">
        <v>0</v>
      </c>
      <c r="C47" s="5">
        <v>0</v>
      </c>
      <c r="D47" s="5">
        <v>2</v>
      </c>
      <c r="E47" s="5">
        <v>0</v>
      </c>
      <c r="F47" s="5">
        <v>5186.45</v>
      </c>
      <c r="G47" s="5" t="s">
        <v>191</v>
      </c>
      <c r="H47" s="5" t="s">
        <v>192</v>
      </c>
      <c r="I47" s="5"/>
      <c r="J47" s="5"/>
      <c r="K47" s="5">
        <v>212</v>
      </c>
      <c r="L47" s="5">
        <v>28</v>
      </c>
      <c r="M47" s="5">
        <v>3</v>
      </c>
      <c r="N47" s="5" t="s">
        <v>3</v>
      </c>
      <c r="O47" s="5">
        <v>2</v>
      </c>
      <c r="P47" s="5">
        <v>58615.27</v>
      </c>
    </row>
    <row r="48" spans="1:16" ht="12.75">
      <c r="A48" s="5">
        <v>50</v>
      </c>
      <c r="B48" s="5">
        <v>0</v>
      </c>
      <c r="C48" s="5">
        <v>0</v>
      </c>
      <c r="D48" s="5">
        <v>2</v>
      </c>
      <c r="E48" s="5">
        <v>224</v>
      </c>
      <c r="F48" s="5">
        <v>31118.71</v>
      </c>
      <c r="G48" s="5" t="s">
        <v>195</v>
      </c>
      <c r="H48" s="5" t="s">
        <v>196</v>
      </c>
      <c r="I48" s="5"/>
      <c r="J48" s="5"/>
      <c r="K48" s="5">
        <v>212</v>
      </c>
      <c r="L48" s="5">
        <v>29</v>
      </c>
      <c r="M48" s="5">
        <v>3</v>
      </c>
      <c r="N48" s="5" t="s">
        <v>3</v>
      </c>
      <c r="O48" s="5">
        <v>-1</v>
      </c>
      <c r="P48" s="5">
        <v>351691.62</v>
      </c>
    </row>
    <row r="50" ht="12.75">
      <c r="A50">
        <v>-1</v>
      </c>
    </row>
    <row r="53" spans="1:15" ht="12.75">
      <c r="A53" s="4">
        <v>75</v>
      </c>
      <c r="B53" s="4" t="s">
        <v>264</v>
      </c>
      <c r="C53" s="4">
        <v>2000</v>
      </c>
      <c r="D53" s="4">
        <v>0</v>
      </c>
      <c r="E53" s="4">
        <v>1</v>
      </c>
      <c r="F53" s="4">
        <v>0</v>
      </c>
      <c r="G53" s="4">
        <v>0</v>
      </c>
      <c r="H53" s="4">
        <v>1</v>
      </c>
      <c r="I53" s="4">
        <v>0</v>
      </c>
      <c r="J53" s="4">
        <v>1</v>
      </c>
      <c r="K53" s="4">
        <v>0</v>
      </c>
      <c r="L53" s="4">
        <v>0</v>
      </c>
      <c r="M53" s="4">
        <v>0</v>
      </c>
      <c r="N53" s="4">
        <v>55655398</v>
      </c>
      <c r="O53" s="4">
        <v>1</v>
      </c>
    </row>
    <row r="54" spans="1:15" ht="12.75">
      <c r="A54" s="4">
        <v>75</v>
      </c>
      <c r="B54" s="4" t="s">
        <v>265</v>
      </c>
      <c r="C54" s="4">
        <v>2023</v>
      </c>
      <c r="D54" s="4">
        <v>3</v>
      </c>
      <c r="E54" s="4">
        <v>0</v>
      </c>
      <c r="F54" s="4"/>
      <c r="G54" s="4">
        <v>0</v>
      </c>
      <c r="H54" s="4">
        <v>1</v>
      </c>
      <c r="I54" s="4">
        <v>0</v>
      </c>
      <c r="J54" s="4">
        <v>1</v>
      </c>
      <c r="K54" s="4">
        <v>0</v>
      </c>
      <c r="L54" s="4">
        <v>0</v>
      </c>
      <c r="M54" s="4">
        <v>1</v>
      </c>
      <c r="N54" s="4">
        <v>55655399</v>
      </c>
      <c r="O54" s="4">
        <v>2</v>
      </c>
    </row>
    <row r="55" spans="1:40" ht="12.75">
      <c r="A55" s="7">
        <v>3</v>
      </c>
      <c r="B55" s="7" t="s">
        <v>266</v>
      </c>
      <c r="C55" s="7">
        <v>1</v>
      </c>
      <c r="D55" s="7">
        <v>6.72</v>
      </c>
      <c r="E55" s="7">
        <v>13.24</v>
      </c>
      <c r="F55" s="7">
        <v>37.34</v>
      </c>
      <c r="G55" s="7">
        <v>37.34</v>
      </c>
      <c r="H55" s="7">
        <v>1</v>
      </c>
      <c r="I55" s="7">
        <v>1</v>
      </c>
      <c r="J55" s="7">
        <v>2</v>
      </c>
      <c r="K55" s="7">
        <v>1</v>
      </c>
      <c r="L55" s="7">
        <v>13.24</v>
      </c>
      <c r="M55" s="7">
        <v>1</v>
      </c>
      <c r="N55" s="7">
        <v>6.72</v>
      </c>
      <c r="O55" s="7">
        <v>1</v>
      </c>
      <c r="P55" s="7">
        <v>1</v>
      </c>
      <c r="Q55" s="7">
        <v>1</v>
      </c>
      <c r="R55" s="7">
        <v>13.24</v>
      </c>
      <c r="S55" s="7" t="s">
        <v>34</v>
      </c>
      <c r="T55" s="7" t="s">
        <v>3</v>
      </c>
      <c r="U55" s="7" t="s">
        <v>3</v>
      </c>
      <c r="V55" s="7" t="s">
        <v>3</v>
      </c>
      <c r="W55" s="7" t="s">
        <v>3</v>
      </c>
      <c r="X55" s="7" t="s">
        <v>3</v>
      </c>
      <c r="Y55" s="7" t="s">
        <v>3</v>
      </c>
      <c r="Z55" s="7" t="s">
        <v>3</v>
      </c>
      <c r="AA55" s="7" t="s">
        <v>3</v>
      </c>
      <c r="AB55" s="7" t="s">
        <v>3</v>
      </c>
      <c r="AC55" s="7" t="s">
        <v>3</v>
      </c>
      <c r="AD55" s="7" t="s">
        <v>3</v>
      </c>
      <c r="AE55" s="7" t="s">
        <v>3</v>
      </c>
      <c r="AF55" s="7" t="s">
        <v>3</v>
      </c>
      <c r="AG55" s="7" t="s">
        <v>3</v>
      </c>
      <c r="AH55" s="7" t="s">
        <v>3</v>
      </c>
      <c r="AI55" s="7"/>
      <c r="AJ55" s="7"/>
      <c r="AK55" s="7"/>
      <c r="AL55" s="7"/>
      <c r="AM55" s="7"/>
      <c r="AN55" s="7">
        <v>55655400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C10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7" ht="12.75">
      <c r="A1">
        <f>ROW(Source!A28)</f>
        <v>28</v>
      </c>
      <c r="B1">
        <v>55655398</v>
      </c>
      <c r="C1">
        <v>55655642</v>
      </c>
      <c r="D1">
        <v>37822877</v>
      </c>
      <c r="E1">
        <v>1</v>
      </c>
      <c r="F1">
        <v>1</v>
      </c>
      <c r="G1">
        <v>1</v>
      </c>
      <c r="H1">
        <v>1</v>
      </c>
      <c r="I1" t="s">
        <v>268</v>
      </c>
      <c r="K1" t="s">
        <v>269</v>
      </c>
      <c r="L1">
        <v>1191</v>
      </c>
      <c r="N1">
        <v>1013</v>
      </c>
      <c r="O1" t="s">
        <v>270</v>
      </c>
      <c r="P1" t="s">
        <v>270</v>
      </c>
      <c r="Q1">
        <v>1</v>
      </c>
      <c r="W1">
        <v>0</v>
      </c>
      <c r="X1">
        <v>735429535</v>
      </c>
      <c r="Y1">
        <v>14.38</v>
      </c>
      <c r="AA1">
        <v>0</v>
      </c>
      <c r="AB1">
        <v>0</v>
      </c>
      <c r="AC1">
        <v>0</v>
      </c>
      <c r="AD1">
        <v>7.8</v>
      </c>
      <c r="AE1">
        <v>0</v>
      </c>
      <c r="AF1">
        <v>0</v>
      </c>
      <c r="AG1">
        <v>0</v>
      </c>
      <c r="AH1">
        <v>7.8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T1">
        <v>14.38</v>
      </c>
      <c r="AV1">
        <v>1</v>
      </c>
      <c r="AW1">
        <v>2</v>
      </c>
      <c r="AX1">
        <v>55655645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33.6492</v>
      </c>
      <c r="CY1">
        <f>AD1</f>
        <v>7.8</v>
      </c>
      <c r="CZ1">
        <f>AH1</f>
        <v>7.8</v>
      </c>
      <c r="DA1">
        <f>AL1</f>
        <v>1</v>
      </c>
      <c r="DB1">
        <f>ROUND(ROUND(AT1*CZ1,2),2)</f>
        <v>112.16</v>
      </c>
      <c r="DC1">
        <f>ROUND(ROUND(AT1*AG1,2),2)</f>
        <v>0</v>
      </c>
    </row>
    <row r="2" spans="1:107" ht="12.75">
      <c r="A2">
        <f>ROW(Source!A28)</f>
        <v>28</v>
      </c>
      <c r="B2">
        <v>55655398</v>
      </c>
      <c r="C2">
        <v>55655642</v>
      </c>
      <c r="D2">
        <v>44976395</v>
      </c>
      <c r="E2">
        <v>1</v>
      </c>
      <c r="F2">
        <v>1</v>
      </c>
      <c r="G2">
        <v>1</v>
      </c>
      <c r="H2">
        <v>2</v>
      </c>
      <c r="I2" t="s">
        <v>271</v>
      </c>
      <c r="J2" t="s">
        <v>272</v>
      </c>
      <c r="K2" t="s">
        <v>273</v>
      </c>
      <c r="L2">
        <v>1368</v>
      </c>
      <c r="N2">
        <v>1011</v>
      </c>
      <c r="O2" t="s">
        <v>274</v>
      </c>
      <c r="P2" t="s">
        <v>274</v>
      </c>
      <c r="Q2">
        <v>1</v>
      </c>
      <c r="W2">
        <v>0</v>
      </c>
      <c r="X2">
        <v>-1641382595</v>
      </c>
      <c r="Y2">
        <v>6.22</v>
      </c>
      <c r="AA2">
        <v>0</v>
      </c>
      <c r="AB2">
        <v>6.66</v>
      </c>
      <c r="AC2">
        <v>0</v>
      </c>
      <c r="AD2">
        <v>0</v>
      </c>
      <c r="AE2">
        <v>0</v>
      </c>
      <c r="AF2">
        <v>6.66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T2">
        <v>6.22</v>
      </c>
      <c r="AV2">
        <v>0</v>
      </c>
      <c r="AW2">
        <v>2</v>
      </c>
      <c r="AX2">
        <v>55655646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Y2*Source!I28</f>
        <v>14.554799999999998</v>
      </c>
      <c r="CY2">
        <f>AB2</f>
        <v>6.66</v>
      </c>
      <c r="CZ2">
        <f>AF2</f>
        <v>6.66</v>
      </c>
      <c r="DA2">
        <f>AJ2</f>
        <v>1</v>
      </c>
      <c r="DB2">
        <f>ROUND(ROUND(AT2*CZ2,2),2)</f>
        <v>41.43</v>
      </c>
      <c r="DC2">
        <f>ROUND(ROUND(AT2*AG2,2),2)</f>
        <v>0</v>
      </c>
    </row>
    <row r="3" spans="1:107" ht="12.75">
      <c r="A3">
        <f>ROW(Source!A29)</f>
        <v>29</v>
      </c>
      <c r="B3">
        <v>55655399</v>
      </c>
      <c r="C3">
        <v>55655642</v>
      </c>
      <c r="D3">
        <v>37822877</v>
      </c>
      <c r="E3">
        <v>1</v>
      </c>
      <c r="F3">
        <v>1</v>
      </c>
      <c r="G3">
        <v>1</v>
      </c>
      <c r="H3">
        <v>1</v>
      </c>
      <c r="I3" t="s">
        <v>268</v>
      </c>
      <c r="K3" t="s">
        <v>269</v>
      </c>
      <c r="L3">
        <v>1191</v>
      </c>
      <c r="N3">
        <v>1013</v>
      </c>
      <c r="O3" t="s">
        <v>270</v>
      </c>
      <c r="P3" t="s">
        <v>270</v>
      </c>
      <c r="Q3">
        <v>1</v>
      </c>
      <c r="W3">
        <v>0</v>
      </c>
      <c r="X3">
        <v>735429535</v>
      </c>
      <c r="Y3">
        <v>14.38</v>
      </c>
      <c r="AA3">
        <v>0</v>
      </c>
      <c r="AB3">
        <v>0</v>
      </c>
      <c r="AC3">
        <v>0</v>
      </c>
      <c r="AD3">
        <v>291.25</v>
      </c>
      <c r="AE3">
        <v>0</v>
      </c>
      <c r="AF3">
        <v>0</v>
      </c>
      <c r="AG3">
        <v>0</v>
      </c>
      <c r="AH3">
        <v>7.8</v>
      </c>
      <c r="AI3">
        <v>1</v>
      </c>
      <c r="AJ3">
        <v>1</v>
      </c>
      <c r="AK3">
        <v>1</v>
      </c>
      <c r="AL3">
        <v>37.34</v>
      </c>
      <c r="AN3">
        <v>0</v>
      </c>
      <c r="AO3">
        <v>1</v>
      </c>
      <c r="AP3">
        <v>0</v>
      </c>
      <c r="AQ3">
        <v>0</v>
      </c>
      <c r="AR3">
        <v>0</v>
      </c>
      <c r="AT3">
        <v>14.38</v>
      </c>
      <c r="AV3">
        <v>1</v>
      </c>
      <c r="AW3">
        <v>2</v>
      </c>
      <c r="AX3">
        <v>55655645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Y3*Source!I29</f>
        <v>33.6492</v>
      </c>
      <c r="CY3">
        <f>AD3</f>
        <v>291.25</v>
      </c>
      <c r="CZ3">
        <f>AH3</f>
        <v>7.8</v>
      </c>
      <c r="DA3">
        <f>AL3</f>
        <v>37.34</v>
      </c>
      <c r="DB3">
        <f>ROUND(ROUND(AT3*CZ3,2),2)</f>
        <v>112.16</v>
      </c>
      <c r="DC3">
        <f>ROUND(ROUND(AT3*AG3,2),2)</f>
        <v>0</v>
      </c>
    </row>
    <row r="4" spans="1:107" ht="12.75">
      <c r="A4">
        <f>ROW(Source!A29)</f>
        <v>29</v>
      </c>
      <c r="B4">
        <v>55655399</v>
      </c>
      <c r="C4">
        <v>55655642</v>
      </c>
      <c r="D4">
        <v>44976395</v>
      </c>
      <c r="E4">
        <v>1</v>
      </c>
      <c r="F4">
        <v>1</v>
      </c>
      <c r="G4">
        <v>1</v>
      </c>
      <c r="H4">
        <v>2</v>
      </c>
      <c r="I4" t="s">
        <v>271</v>
      </c>
      <c r="J4" t="s">
        <v>272</v>
      </c>
      <c r="K4" t="s">
        <v>273</v>
      </c>
      <c r="L4">
        <v>1368</v>
      </c>
      <c r="N4">
        <v>1011</v>
      </c>
      <c r="O4" t="s">
        <v>274</v>
      </c>
      <c r="P4" t="s">
        <v>274</v>
      </c>
      <c r="Q4">
        <v>1</v>
      </c>
      <c r="W4">
        <v>0</v>
      </c>
      <c r="X4">
        <v>-1641382595</v>
      </c>
      <c r="Y4">
        <v>6.22</v>
      </c>
      <c r="AA4">
        <v>0</v>
      </c>
      <c r="AB4">
        <v>88.18</v>
      </c>
      <c r="AC4">
        <v>0</v>
      </c>
      <c r="AD4">
        <v>0</v>
      </c>
      <c r="AE4">
        <v>0</v>
      </c>
      <c r="AF4">
        <v>6.66</v>
      </c>
      <c r="AG4">
        <v>0</v>
      </c>
      <c r="AH4">
        <v>0</v>
      </c>
      <c r="AI4">
        <v>1</v>
      </c>
      <c r="AJ4">
        <v>13.24</v>
      </c>
      <c r="AK4">
        <v>37.34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T4">
        <v>6.22</v>
      </c>
      <c r="AV4">
        <v>0</v>
      </c>
      <c r="AW4">
        <v>2</v>
      </c>
      <c r="AX4">
        <v>55655646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Y4*Source!I29</f>
        <v>14.554799999999998</v>
      </c>
      <c r="CY4">
        <f>AB4</f>
        <v>88.18</v>
      </c>
      <c r="CZ4">
        <f>AF4</f>
        <v>6.66</v>
      </c>
      <c r="DA4">
        <f>AJ4</f>
        <v>13.24</v>
      </c>
      <c r="DB4">
        <f>ROUND(ROUND(AT4*CZ4,2),2)</f>
        <v>41.43</v>
      </c>
      <c r="DC4">
        <f>ROUND(ROUND(AT4*AG4,2),2)</f>
        <v>0</v>
      </c>
    </row>
    <row r="5" spans="1:107" ht="12.75">
      <c r="A5">
        <f>ROW(Source!A30)</f>
        <v>30</v>
      </c>
      <c r="B5">
        <v>55655398</v>
      </c>
      <c r="C5">
        <v>55655647</v>
      </c>
      <c r="D5">
        <v>53630041</v>
      </c>
      <c r="E5">
        <v>70</v>
      </c>
      <c r="F5">
        <v>1</v>
      </c>
      <c r="G5">
        <v>1</v>
      </c>
      <c r="H5">
        <v>1</v>
      </c>
      <c r="I5" t="s">
        <v>275</v>
      </c>
      <c r="K5" t="s">
        <v>276</v>
      </c>
      <c r="L5">
        <v>1191</v>
      </c>
      <c r="N5">
        <v>1013</v>
      </c>
      <c r="O5" t="s">
        <v>270</v>
      </c>
      <c r="P5" t="s">
        <v>270</v>
      </c>
      <c r="Q5">
        <v>1</v>
      </c>
      <c r="W5">
        <v>0</v>
      </c>
      <c r="X5">
        <v>-366857280</v>
      </c>
      <c r="Y5">
        <v>28.480000000000004</v>
      </c>
      <c r="AA5">
        <v>0</v>
      </c>
      <c r="AB5">
        <v>0</v>
      </c>
      <c r="AC5">
        <v>0</v>
      </c>
      <c r="AD5">
        <v>7.94</v>
      </c>
      <c r="AE5">
        <v>0</v>
      </c>
      <c r="AF5">
        <v>0</v>
      </c>
      <c r="AG5">
        <v>0</v>
      </c>
      <c r="AH5">
        <v>7.94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1</v>
      </c>
      <c r="AQ5">
        <v>0</v>
      </c>
      <c r="AR5">
        <v>0</v>
      </c>
      <c r="AT5">
        <v>35.6</v>
      </c>
      <c r="AU5" t="s">
        <v>41</v>
      </c>
      <c r="AV5">
        <v>1</v>
      </c>
      <c r="AW5">
        <v>2</v>
      </c>
      <c r="AX5">
        <v>55655654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Y5*Source!I30</f>
        <v>27.625600000000002</v>
      </c>
      <c r="CY5">
        <f>AD5</f>
        <v>7.94</v>
      </c>
      <c r="CZ5">
        <f>AH5</f>
        <v>7.94</v>
      </c>
      <c r="DA5">
        <f>AL5</f>
        <v>1</v>
      </c>
      <c r="DB5">
        <f>ROUND((ROUND(AT5*CZ5,2)*ROUND(0.8,7)),2)</f>
        <v>226.13</v>
      </c>
      <c r="DC5">
        <f>ROUND((ROUND(AT5*AG5,2)*ROUND(0.8,7)),2)</f>
        <v>0</v>
      </c>
    </row>
    <row r="6" spans="1:107" ht="12.75">
      <c r="A6">
        <f>ROW(Source!A30)</f>
        <v>30</v>
      </c>
      <c r="B6">
        <v>55655398</v>
      </c>
      <c r="C6">
        <v>55655647</v>
      </c>
      <c r="D6">
        <v>53630257</v>
      </c>
      <c r="E6">
        <v>70</v>
      </c>
      <c r="F6">
        <v>1</v>
      </c>
      <c r="G6">
        <v>1</v>
      </c>
      <c r="H6">
        <v>1</v>
      </c>
      <c r="I6" t="s">
        <v>277</v>
      </c>
      <c r="K6" t="s">
        <v>278</v>
      </c>
      <c r="L6">
        <v>1191</v>
      </c>
      <c r="N6">
        <v>1013</v>
      </c>
      <c r="O6" t="s">
        <v>270</v>
      </c>
      <c r="P6" t="s">
        <v>270</v>
      </c>
      <c r="Q6">
        <v>1</v>
      </c>
      <c r="W6">
        <v>0</v>
      </c>
      <c r="X6">
        <v>-1417349443</v>
      </c>
      <c r="Y6">
        <v>1.016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1</v>
      </c>
      <c r="AQ6">
        <v>0</v>
      </c>
      <c r="AR6">
        <v>0</v>
      </c>
      <c r="AT6">
        <v>1.27</v>
      </c>
      <c r="AU6" t="s">
        <v>41</v>
      </c>
      <c r="AV6">
        <v>2</v>
      </c>
      <c r="AW6">
        <v>2</v>
      </c>
      <c r="AX6">
        <v>55655655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Y6*Source!I30</f>
        <v>0.98552</v>
      </c>
      <c r="CY6">
        <f>AD6</f>
        <v>0</v>
      </c>
      <c r="CZ6">
        <f>AH6</f>
        <v>0</v>
      </c>
      <c r="DA6">
        <f>AL6</f>
        <v>1</v>
      </c>
      <c r="DB6">
        <f>ROUND((ROUND(AT6*CZ6,2)*ROUND(0.8,7)),2)</f>
        <v>0</v>
      </c>
      <c r="DC6">
        <f>ROUND((ROUND(AT6*AG6,2)*ROUND(0.8,7)),2)</f>
        <v>0</v>
      </c>
    </row>
    <row r="7" spans="1:107" ht="12.75">
      <c r="A7">
        <f>ROW(Source!A30)</f>
        <v>30</v>
      </c>
      <c r="B7">
        <v>55655398</v>
      </c>
      <c r="C7">
        <v>55655647</v>
      </c>
      <c r="D7">
        <v>53792191</v>
      </c>
      <c r="E7">
        <v>1</v>
      </c>
      <c r="F7">
        <v>1</v>
      </c>
      <c r="G7">
        <v>1</v>
      </c>
      <c r="H7">
        <v>2</v>
      </c>
      <c r="I7" t="s">
        <v>279</v>
      </c>
      <c r="J7" t="s">
        <v>280</v>
      </c>
      <c r="K7" t="s">
        <v>281</v>
      </c>
      <c r="L7">
        <v>1367</v>
      </c>
      <c r="N7">
        <v>1011</v>
      </c>
      <c r="O7" t="s">
        <v>282</v>
      </c>
      <c r="P7" t="s">
        <v>282</v>
      </c>
      <c r="Q7">
        <v>1</v>
      </c>
      <c r="W7">
        <v>0</v>
      </c>
      <c r="X7">
        <v>1232162608</v>
      </c>
      <c r="Y7">
        <v>1.016</v>
      </c>
      <c r="AA7">
        <v>0</v>
      </c>
      <c r="AB7">
        <v>31.26</v>
      </c>
      <c r="AC7">
        <v>13.5</v>
      </c>
      <c r="AD7">
        <v>0</v>
      </c>
      <c r="AE7">
        <v>0</v>
      </c>
      <c r="AF7">
        <v>31.26</v>
      </c>
      <c r="AG7">
        <v>13.5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T7">
        <v>1.27</v>
      </c>
      <c r="AU7" t="s">
        <v>41</v>
      </c>
      <c r="AV7">
        <v>0</v>
      </c>
      <c r="AW7">
        <v>2</v>
      </c>
      <c r="AX7">
        <v>55655656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Y7*Source!I30</f>
        <v>0.98552</v>
      </c>
      <c r="CY7">
        <f>AB7</f>
        <v>31.26</v>
      </c>
      <c r="CZ7">
        <f>AF7</f>
        <v>31.26</v>
      </c>
      <c r="DA7">
        <f>AJ7</f>
        <v>1</v>
      </c>
      <c r="DB7">
        <f>ROUND((ROUND(AT7*CZ7,2)*ROUND(0.8,7)),2)</f>
        <v>31.76</v>
      </c>
      <c r="DC7">
        <f>ROUND((ROUND(AT7*AG7,2)*ROUND(0.8,7)),2)</f>
        <v>13.72</v>
      </c>
    </row>
    <row r="8" spans="1:107" ht="12.75">
      <c r="A8">
        <f>ROW(Source!A30)</f>
        <v>30</v>
      </c>
      <c r="B8">
        <v>55655398</v>
      </c>
      <c r="C8">
        <v>55655647</v>
      </c>
      <c r="D8">
        <v>53792275</v>
      </c>
      <c r="E8">
        <v>1</v>
      </c>
      <c r="F8">
        <v>1</v>
      </c>
      <c r="G8">
        <v>1</v>
      </c>
      <c r="H8">
        <v>2</v>
      </c>
      <c r="I8" t="s">
        <v>283</v>
      </c>
      <c r="J8" t="s">
        <v>284</v>
      </c>
      <c r="K8" t="s">
        <v>285</v>
      </c>
      <c r="L8">
        <v>1367</v>
      </c>
      <c r="N8">
        <v>1011</v>
      </c>
      <c r="O8" t="s">
        <v>282</v>
      </c>
      <c r="P8" t="s">
        <v>282</v>
      </c>
      <c r="Q8">
        <v>1</v>
      </c>
      <c r="W8">
        <v>0</v>
      </c>
      <c r="X8">
        <v>-1322498708</v>
      </c>
      <c r="Y8">
        <v>6.256</v>
      </c>
      <c r="AA8">
        <v>0</v>
      </c>
      <c r="AB8">
        <v>0.5</v>
      </c>
      <c r="AC8">
        <v>0</v>
      </c>
      <c r="AD8">
        <v>0</v>
      </c>
      <c r="AE8">
        <v>0</v>
      </c>
      <c r="AF8">
        <v>0.5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1</v>
      </c>
      <c r="AQ8">
        <v>0</v>
      </c>
      <c r="AR8">
        <v>0</v>
      </c>
      <c r="AT8">
        <v>7.82</v>
      </c>
      <c r="AU8" t="s">
        <v>41</v>
      </c>
      <c r="AV8">
        <v>0</v>
      </c>
      <c r="AW8">
        <v>2</v>
      </c>
      <c r="AX8">
        <v>55655657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Y8*Source!I30</f>
        <v>6.06832</v>
      </c>
      <c r="CY8">
        <f>AB8</f>
        <v>0.5</v>
      </c>
      <c r="CZ8">
        <f>AF8</f>
        <v>0.5</v>
      </c>
      <c r="DA8">
        <f>AJ8</f>
        <v>1</v>
      </c>
      <c r="DB8">
        <f>ROUND((ROUND(AT8*CZ8,2)*ROUND(0.8,7)),2)</f>
        <v>3.13</v>
      </c>
      <c r="DC8">
        <f>ROUND((ROUND(AT8*AG8,2)*ROUND(0.8,7)),2)</f>
        <v>0</v>
      </c>
    </row>
    <row r="9" spans="1:107" ht="12.75">
      <c r="A9">
        <f>ROW(Source!A30)</f>
        <v>30</v>
      </c>
      <c r="B9">
        <v>55655398</v>
      </c>
      <c r="C9">
        <v>55655647</v>
      </c>
      <c r="D9">
        <v>53642555</v>
      </c>
      <c r="E9">
        <v>1</v>
      </c>
      <c r="F9">
        <v>1</v>
      </c>
      <c r="G9">
        <v>1</v>
      </c>
      <c r="H9">
        <v>3</v>
      </c>
      <c r="I9" t="s">
        <v>48</v>
      </c>
      <c r="J9" t="s">
        <v>51</v>
      </c>
      <c r="K9" t="s">
        <v>49</v>
      </c>
      <c r="L9">
        <v>1339</v>
      </c>
      <c r="N9">
        <v>1007</v>
      </c>
      <c r="O9" t="s">
        <v>50</v>
      </c>
      <c r="P9" t="s">
        <v>50</v>
      </c>
      <c r="Q9">
        <v>1</v>
      </c>
      <c r="W9">
        <v>1</v>
      </c>
      <c r="X9">
        <v>-143474561</v>
      </c>
      <c r="Y9">
        <v>0</v>
      </c>
      <c r="AA9">
        <v>2.44</v>
      </c>
      <c r="AB9">
        <v>0</v>
      </c>
      <c r="AC9">
        <v>0</v>
      </c>
      <c r="AD9">
        <v>0</v>
      </c>
      <c r="AE9">
        <v>2.44</v>
      </c>
      <c r="AF9">
        <v>0</v>
      </c>
      <c r="AG9">
        <v>0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T9">
        <v>-3.5</v>
      </c>
      <c r="AU9" t="s">
        <v>40</v>
      </c>
      <c r="AV9">
        <v>0</v>
      </c>
      <c r="AW9">
        <v>2</v>
      </c>
      <c r="AX9">
        <v>55655658</v>
      </c>
      <c r="AY9">
        <v>1</v>
      </c>
      <c r="AZ9">
        <v>4096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Y9*Source!I30</f>
        <v>0</v>
      </c>
      <c r="CY9">
        <f>AA9</f>
        <v>2.44</v>
      </c>
      <c r="CZ9">
        <f>AE9</f>
        <v>2.44</v>
      </c>
      <c r="DA9">
        <f>AI9</f>
        <v>1</v>
      </c>
      <c r="DB9">
        <f>ROUND((ROUND(AT9*CZ9,2)*ROUND(0,7)),2)</f>
        <v>0</v>
      </c>
      <c r="DC9">
        <f>ROUND((ROUND(AT9*AG9,2)*ROUND(0,7)),2)</f>
        <v>0</v>
      </c>
    </row>
    <row r="10" spans="1:107" ht="12.75">
      <c r="A10">
        <f>ROW(Source!A31)</f>
        <v>31</v>
      </c>
      <c r="B10">
        <v>55655399</v>
      </c>
      <c r="C10">
        <v>55655647</v>
      </c>
      <c r="D10">
        <v>53630041</v>
      </c>
      <c r="E10">
        <v>70</v>
      </c>
      <c r="F10">
        <v>1</v>
      </c>
      <c r="G10">
        <v>1</v>
      </c>
      <c r="H10">
        <v>1</v>
      </c>
      <c r="I10" t="s">
        <v>275</v>
      </c>
      <c r="K10" t="s">
        <v>276</v>
      </c>
      <c r="L10">
        <v>1191</v>
      </c>
      <c r="N10">
        <v>1013</v>
      </c>
      <c r="O10" t="s">
        <v>270</v>
      </c>
      <c r="P10" t="s">
        <v>270</v>
      </c>
      <c r="Q10">
        <v>1</v>
      </c>
      <c r="W10">
        <v>0</v>
      </c>
      <c r="X10">
        <v>-366857280</v>
      </c>
      <c r="Y10">
        <v>28.480000000000004</v>
      </c>
      <c r="AA10">
        <v>0</v>
      </c>
      <c r="AB10">
        <v>0</v>
      </c>
      <c r="AC10">
        <v>0</v>
      </c>
      <c r="AD10">
        <v>296.48</v>
      </c>
      <c r="AE10">
        <v>0</v>
      </c>
      <c r="AF10">
        <v>0</v>
      </c>
      <c r="AG10">
        <v>0</v>
      </c>
      <c r="AH10">
        <v>7.94</v>
      </c>
      <c r="AI10">
        <v>1</v>
      </c>
      <c r="AJ10">
        <v>1</v>
      </c>
      <c r="AK10">
        <v>1</v>
      </c>
      <c r="AL10">
        <v>37.34</v>
      </c>
      <c r="AN10">
        <v>0</v>
      </c>
      <c r="AO10">
        <v>1</v>
      </c>
      <c r="AP10">
        <v>1</v>
      </c>
      <c r="AQ10">
        <v>0</v>
      </c>
      <c r="AR10">
        <v>0</v>
      </c>
      <c r="AT10">
        <v>35.6</v>
      </c>
      <c r="AU10" t="s">
        <v>41</v>
      </c>
      <c r="AV10">
        <v>1</v>
      </c>
      <c r="AW10">
        <v>2</v>
      </c>
      <c r="AX10">
        <v>55655654</v>
      </c>
      <c r="AY10">
        <v>1</v>
      </c>
      <c r="AZ10">
        <v>0</v>
      </c>
      <c r="BA10">
        <v>11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Y10*Source!I31</f>
        <v>27.625600000000002</v>
      </c>
      <c r="CY10">
        <f>AD10</f>
        <v>296.48</v>
      </c>
      <c r="CZ10">
        <f>AH10</f>
        <v>7.94</v>
      </c>
      <c r="DA10">
        <f>AL10</f>
        <v>37.34</v>
      </c>
      <c r="DB10">
        <f>ROUND((ROUND(AT10*CZ10,2)*ROUND(0.8,7)),2)</f>
        <v>226.13</v>
      </c>
      <c r="DC10">
        <f>ROUND((ROUND(AT10*AG10,2)*ROUND(0.8,7)),2)</f>
        <v>0</v>
      </c>
    </row>
    <row r="11" spans="1:107" ht="12.75">
      <c r="A11">
        <f>ROW(Source!A31)</f>
        <v>31</v>
      </c>
      <c r="B11">
        <v>55655399</v>
      </c>
      <c r="C11">
        <v>55655647</v>
      </c>
      <c r="D11">
        <v>53630257</v>
      </c>
      <c r="E11">
        <v>70</v>
      </c>
      <c r="F11">
        <v>1</v>
      </c>
      <c r="G11">
        <v>1</v>
      </c>
      <c r="H11">
        <v>1</v>
      </c>
      <c r="I11" t="s">
        <v>277</v>
      </c>
      <c r="K11" t="s">
        <v>278</v>
      </c>
      <c r="L11">
        <v>1191</v>
      </c>
      <c r="N11">
        <v>1013</v>
      </c>
      <c r="O11" t="s">
        <v>270</v>
      </c>
      <c r="P11" t="s">
        <v>270</v>
      </c>
      <c r="Q11">
        <v>1</v>
      </c>
      <c r="W11">
        <v>0</v>
      </c>
      <c r="X11">
        <v>-1417349443</v>
      </c>
      <c r="Y11">
        <v>1.016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37.34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T11">
        <v>1.27</v>
      </c>
      <c r="AU11" t="s">
        <v>41</v>
      </c>
      <c r="AV11">
        <v>2</v>
      </c>
      <c r="AW11">
        <v>2</v>
      </c>
      <c r="AX11">
        <v>55655655</v>
      </c>
      <c r="AY11">
        <v>1</v>
      </c>
      <c r="AZ11">
        <v>0</v>
      </c>
      <c r="BA11">
        <v>12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Y11*Source!I31</f>
        <v>0.98552</v>
      </c>
      <c r="CY11">
        <f>AD11</f>
        <v>0</v>
      </c>
      <c r="CZ11">
        <f>AH11</f>
        <v>0</v>
      </c>
      <c r="DA11">
        <f>AL11</f>
        <v>1</v>
      </c>
      <c r="DB11">
        <f>ROUND((ROUND(AT11*CZ11,2)*ROUND(0.8,7)),2)</f>
        <v>0</v>
      </c>
      <c r="DC11">
        <f>ROUND((ROUND(AT11*AG11,2)*ROUND(0.8,7)),2)</f>
        <v>0</v>
      </c>
    </row>
    <row r="12" spans="1:107" ht="12.75">
      <c r="A12">
        <f>ROW(Source!A31)</f>
        <v>31</v>
      </c>
      <c r="B12">
        <v>55655399</v>
      </c>
      <c r="C12">
        <v>55655647</v>
      </c>
      <c r="D12">
        <v>53792191</v>
      </c>
      <c r="E12">
        <v>1</v>
      </c>
      <c r="F12">
        <v>1</v>
      </c>
      <c r="G12">
        <v>1</v>
      </c>
      <c r="H12">
        <v>2</v>
      </c>
      <c r="I12" t="s">
        <v>279</v>
      </c>
      <c r="J12" t="s">
        <v>280</v>
      </c>
      <c r="K12" t="s">
        <v>281</v>
      </c>
      <c r="L12">
        <v>1367</v>
      </c>
      <c r="N12">
        <v>1011</v>
      </c>
      <c r="O12" t="s">
        <v>282</v>
      </c>
      <c r="P12" t="s">
        <v>282</v>
      </c>
      <c r="Q12">
        <v>1</v>
      </c>
      <c r="W12">
        <v>0</v>
      </c>
      <c r="X12">
        <v>1232162608</v>
      </c>
      <c r="Y12">
        <v>1.016</v>
      </c>
      <c r="AA12">
        <v>0</v>
      </c>
      <c r="AB12">
        <v>413.88</v>
      </c>
      <c r="AC12">
        <v>504.09</v>
      </c>
      <c r="AD12">
        <v>0</v>
      </c>
      <c r="AE12">
        <v>0</v>
      </c>
      <c r="AF12">
        <v>31.26</v>
      </c>
      <c r="AG12">
        <v>13.5</v>
      </c>
      <c r="AH12">
        <v>0</v>
      </c>
      <c r="AI12">
        <v>1</v>
      </c>
      <c r="AJ12">
        <v>13.24</v>
      </c>
      <c r="AK12">
        <v>37.34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T12">
        <v>1.27</v>
      </c>
      <c r="AU12" t="s">
        <v>41</v>
      </c>
      <c r="AV12">
        <v>0</v>
      </c>
      <c r="AW12">
        <v>2</v>
      </c>
      <c r="AX12">
        <v>55655656</v>
      </c>
      <c r="AY12">
        <v>1</v>
      </c>
      <c r="AZ12">
        <v>0</v>
      </c>
      <c r="BA12">
        <v>13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Y12*Source!I31</f>
        <v>0.98552</v>
      </c>
      <c r="CY12">
        <f>AB12</f>
        <v>413.88</v>
      </c>
      <c r="CZ12">
        <f>AF12</f>
        <v>31.26</v>
      </c>
      <c r="DA12">
        <f>AJ12</f>
        <v>13.24</v>
      </c>
      <c r="DB12">
        <f>ROUND((ROUND(AT12*CZ12,2)*ROUND(0.8,7)),2)</f>
        <v>31.76</v>
      </c>
      <c r="DC12">
        <f>ROUND((ROUND(AT12*AG12,2)*ROUND(0.8,7)),2)</f>
        <v>13.72</v>
      </c>
    </row>
    <row r="13" spans="1:107" ht="12.75">
      <c r="A13">
        <f>ROW(Source!A31)</f>
        <v>31</v>
      </c>
      <c r="B13">
        <v>55655399</v>
      </c>
      <c r="C13">
        <v>55655647</v>
      </c>
      <c r="D13">
        <v>53792275</v>
      </c>
      <c r="E13">
        <v>1</v>
      </c>
      <c r="F13">
        <v>1</v>
      </c>
      <c r="G13">
        <v>1</v>
      </c>
      <c r="H13">
        <v>2</v>
      </c>
      <c r="I13" t="s">
        <v>283</v>
      </c>
      <c r="J13" t="s">
        <v>284</v>
      </c>
      <c r="K13" t="s">
        <v>285</v>
      </c>
      <c r="L13">
        <v>1367</v>
      </c>
      <c r="N13">
        <v>1011</v>
      </c>
      <c r="O13" t="s">
        <v>282</v>
      </c>
      <c r="P13" t="s">
        <v>282</v>
      </c>
      <c r="Q13">
        <v>1</v>
      </c>
      <c r="W13">
        <v>0</v>
      </c>
      <c r="X13">
        <v>-1322498708</v>
      </c>
      <c r="Y13">
        <v>6.256</v>
      </c>
      <c r="AA13">
        <v>0</v>
      </c>
      <c r="AB13">
        <v>6.62</v>
      </c>
      <c r="AC13">
        <v>0</v>
      </c>
      <c r="AD13">
        <v>0</v>
      </c>
      <c r="AE13">
        <v>0</v>
      </c>
      <c r="AF13">
        <v>0.5</v>
      </c>
      <c r="AG13">
        <v>0</v>
      </c>
      <c r="AH13">
        <v>0</v>
      </c>
      <c r="AI13">
        <v>1</v>
      </c>
      <c r="AJ13">
        <v>13.24</v>
      </c>
      <c r="AK13">
        <v>37.34</v>
      </c>
      <c r="AL13">
        <v>1</v>
      </c>
      <c r="AN13">
        <v>0</v>
      </c>
      <c r="AO13">
        <v>1</v>
      </c>
      <c r="AP13">
        <v>1</v>
      </c>
      <c r="AQ13">
        <v>0</v>
      </c>
      <c r="AR13">
        <v>0</v>
      </c>
      <c r="AT13">
        <v>7.82</v>
      </c>
      <c r="AU13" t="s">
        <v>41</v>
      </c>
      <c r="AV13">
        <v>0</v>
      </c>
      <c r="AW13">
        <v>2</v>
      </c>
      <c r="AX13">
        <v>55655657</v>
      </c>
      <c r="AY13">
        <v>1</v>
      </c>
      <c r="AZ13">
        <v>0</v>
      </c>
      <c r="BA13">
        <v>14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Y13*Source!I31</f>
        <v>6.06832</v>
      </c>
      <c r="CY13">
        <f>AB13</f>
        <v>6.62</v>
      </c>
      <c r="CZ13">
        <f>AF13</f>
        <v>0.5</v>
      </c>
      <c r="DA13">
        <f>AJ13</f>
        <v>13.24</v>
      </c>
      <c r="DB13">
        <f>ROUND((ROUND(AT13*CZ13,2)*ROUND(0.8,7)),2)</f>
        <v>3.13</v>
      </c>
      <c r="DC13">
        <f>ROUND((ROUND(AT13*AG13,2)*ROUND(0.8,7)),2)</f>
        <v>0</v>
      </c>
    </row>
    <row r="14" spans="1:107" ht="12.75">
      <c r="A14">
        <f>ROW(Source!A31)</f>
        <v>31</v>
      </c>
      <c r="B14">
        <v>55655399</v>
      </c>
      <c r="C14">
        <v>55655647</v>
      </c>
      <c r="D14">
        <v>53642555</v>
      </c>
      <c r="E14">
        <v>1</v>
      </c>
      <c r="F14">
        <v>1</v>
      </c>
      <c r="G14">
        <v>1</v>
      </c>
      <c r="H14">
        <v>3</v>
      </c>
      <c r="I14" t="s">
        <v>48</v>
      </c>
      <c r="J14" t="s">
        <v>51</v>
      </c>
      <c r="K14" t="s">
        <v>49</v>
      </c>
      <c r="L14">
        <v>1339</v>
      </c>
      <c r="N14">
        <v>1007</v>
      </c>
      <c r="O14" t="s">
        <v>50</v>
      </c>
      <c r="P14" t="s">
        <v>50</v>
      </c>
      <c r="Q14">
        <v>1</v>
      </c>
      <c r="W14">
        <v>1</v>
      </c>
      <c r="X14">
        <v>-143474561</v>
      </c>
      <c r="Y14">
        <v>0</v>
      </c>
      <c r="AA14">
        <v>16.4</v>
      </c>
      <c r="AB14">
        <v>0</v>
      </c>
      <c r="AC14">
        <v>0</v>
      </c>
      <c r="AD14">
        <v>0</v>
      </c>
      <c r="AE14">
        <v>2.44</v>
      </c>
      <c r="AF14">
        <v>0</v>
      </c>
      <c r="AG14">
        <v>0</v>
      </c>
      <c r="AH14">
        <v>0</v>
      </c>
      <c r="AI14">
        <v>6.72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1</v>
      </c>
      <c r="AQ14">
        <v>0</v>
      </c>
      <c r="AR14">
        <v>0</v>
      </c>
      <c r="AT14">
        <v>-3.5</v>
      </c>
      <c r="AU14" t="s">
        <v>40</v>
      </c>
      <c r="AV14">
        <v>0</v>
      </c>
      <c r="AW14">
        <v>2</v>
      </c>
      <c r="AX14">
        <v>55655658</v>
      </c>
      <c r="AY14">
        <v>1</v>
      </c>
      <c r="AZ14">
        <v>4096</v>
      </c>
      <c r="BA14">
        <v>15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Y14*Source!I31</f>
        <v>0</v>
      </c>
      <c r="CY14">
        <f>AA14</f>
        <v>16.4</v>
      </c>
      <c r="CZ14">
        <f>AE14</f>
        <v>2.44</v>
      </c>
      <c r="DA14">
        <f>AI14</f>
        <v>6.72</v>
      </c>
      <c r="DB14">
        <f>ROUND((ROUND(AT14*CZ14,2)*ROUND(0,7)),2)</f>
        <v>0</v>
      </c>
      <c r="DC14">
        <f>ROUND((ROUND(AT14*AG14,2)*ROUND(0,7)),2)</f>
        <v>0</v>
      </c>
    </row>
    <row r="15" spans="1:107" ht="12.75">
      <c r="A15">
        <f>ROW(Source!A34)</f>
        <v>34</v>
      </c>
      <c r="B15">
        <v>55655398</v>
      </c>
      <c r="C15">
        <v>55667396</v>
      </c>
      <c r="D15">
        <v>53630033</v>
      </c>
      <c r="E15">
        <v>70</v>
      </c>
      <c r="F15">
        <v>1</v>
      </c>
      <c r="G15">
        <v>1</v>
      </c>
      <c r="H15">
        <v>1</v>
      </c>
      <c r="I15" t="s">
        <v>268</v>
      </c>
      <c r="K15" t="s">
        <v>286</v>
      </c>
      <c r="L15">
        <v>1191</v>
      </c>
      <c r="N15">
        <v>1013</v>
      </c>
      <c r="O15" t="s">
        <v>270</v>
      </c>
      <c r="P15" t="s">
        <v>270</v>
      </c>
      <c r="Q15">
        <v>1</v>
      </c>
      <c r="W15">
        <v>0</v>
      </c>
      <c r="X15">
        <v>2031828327</v>
      </c>
      <c r="Y15">
        <v>0.7040000000000001</v>
      </c>
      <c r="AA15">
        <v>0</v>
      </c>
      <c r="AB15">
        <v>0</v>
      </c>
      <c r="AC15">
        <v>0</v>
      </c>
      <c r="AD15">
        <v>7.8</v>
      </c>
      <c r="AE15">
        <v>0</v>
      </c>
      <c r="AF15">
        <v>0</v>
      </c>
      <c r="AG15">
        <v>0</v>
      </c>
      <c r="AH15">
        <v>7.8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1</v>
      </c>
      <c r="AQ15">
        <v>0</v>
      </c>
      <c r="AR15">
        <v>0</v>
      </c>
      <c r="AT15">
        <v>0.44</v>
      </c>
      <c r="AU15" t="s">
        <v>57</v>
      </c>
      <c r="AV15">
        <v>1</v>
      </c>
      <c r="AW15">
        <v>2</v>
      </c>
      <c r="AX15">
        <v>55667397</v>
      </c>
      <c r="AY15">
        <v>1</v>
      </c>
      <c r="AZ15">
        <v>0</v>
      </c>
      <c r="BA15">
        <v>17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Y15*Source!I34</f>
        <v>0.68288</v>
      </c>
      <c r="CY15">
        <f>AD15</f>
        <v>7.8</v>
      </c>
      <c r="CZ15">
        <f>AH15</f>
        <v>7.8</v>
      </c>
      <c r="DA15">
        <f>AL15</f>
        <v>1</v>
      </c>
      <c r="DB15">
        <f aca="true" t="shared" si="0" ref="DB15:DB22">ROUND((ROUND(AT15*CZ15,2)*ROUND((0.8*2),7)),2)</f>
        <v>5.49</v>
      </c>
      <c r="DC15">
        <f aca="true" t="shared" si="1" ref="DC15:DC22">ROUND((ROUND(AT15*AG15,2)*ROUND((0.8*2),7)),2)</f>
        <v>0</v>
      </c>
    </row>
    <row r="16" spans="1:107" ht="12.75">
      <c r="A16">
        <f>ROW(Source!A34)</f>
        <v>34</v>
      </c>
      <c r="B16">
        <v>55655398</v>
      </c>
      <c r="C16">
        <v>55667396</v>
      </c>
      <c r="D16">
        <v>53630257</v>
      </c>
      <c r="E16">
        <v>70</v>
      </c>
      <c r="F16">
        <v>1</v>
      </c>
      <c r="G16">
        <v>1</v>
      </c>
      <c r="H16">
        <v>1</v>
      </c>
      <c r="I16" t="s">
        <v>277</v>
      </c>
      <c r="K16" t="s">
        <v>278</v>
      </c>
      <c r="L16">
        <v>1191</v>
      </c>
      <c r="N16">
        <v>1013</v>
      </c>
      <c r="O16" t="s">
        <v>270</v>
      </c>
      <c r="P16" t="s">
        <v>270</v>
      </c>
      <c r="Q16">
        <v>1</v>
      </c>
      <c r="W16">
        <v>0</v>
      </c>
      <c r="X16">
        <v>-1417349443</v>
      </c>
      <c r="Y16">
        <v>0.336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1</v>
      </c>
      <c r="AQ16">
        <v>0</v>
      </c>
      <c r="AR16">
        <v>0</v>
      </c>
      <c r="AT16">
        <v>0.21</v>
      </c>
      <c r="AU16" t="s">
        <v>57</v>
      </c>
      <c r="AV16">
        <v>2</v>
      </c>
      <c r="AW16">
        <v>2</v>
      </c>
      <c r="AX16">
        <v>55667398</v>
      </c>
      <c r="AY16">
        <v>1</v>
      </c>
      <c r="AZ16">
        <v>0</v>
      </c>
      <c r="BA16">
        <v>18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Y16*Source!I34</f>
        <v>0.32592</v>
      </c>
      <c r="CY16">
        <f>AD16</f>
        <v>0</v>
      </c>
      <c r="CZ16">
        <f>AH16</f>
        <v>0</v>
      </c>
      <c r="DA16">
        <f>AL16</f>
        <v>1</v>
      </c>
      <c r="DB16">
        <f t="shared" si="0"/>
        <v>0</v>
      </c>
      <c r="DC16">
        <f t="shared" si="1"/>
        <v>0</v>
      </c>
    </row>
    <row r="17" spans="1:107" ht="12.75">
      <c r="A17">
        <f>ROW(Source!A34)</f>
        <v>34</v>
      </c>
      <c r="B17">
        <v>55655398</v>
      </c>
      <c r="C17">
        <v>55667396</v>
      </c>
      <c r="D17">
        <v>53792191</v>
      </c>
      <c r="E17">
        <v>1</v>
      </c>
      <c r="F17">
        <v>1</v>
      </c>
      <c r="G17">
        <v>1</v>
      </c>
      <c r="H17">
        <v>2</v>
      </c>
      <c r="I17" t="s">
        <v>279</v>
      </c>
      <c r="J17" t="s">
        <v>280</v>
      </c>
      <c r="K17" t="s">
        <v>281</v>
      </c>
      <c r="L17">
        <v>1367</v>
      </c>
      <c r="N17">
        <v>1011</v>
      </c>
      <c r="O17" t="s">
        <v>282</v>
      </c>
      <c r="P17" t="s">
        <v>282</v>
      </c>
      <c r="Q17">
        <v>1</v>
      </c>
      <c r="W17">
        <v>0</v>
      </c>
      <c r="X17">
        <v>1232162608</v>
      </c>
      <c r="Y17">
        <v>0.336</v>
      </c>
      <c r="AA17">
        <v>0</v>
      </c>
      <c r="AB17">
        <v>31.26</v>
      </c>
      <c r="AC17">
        <v>13.5</v>
      </c>
      <c r="AD17">
        <v>0</v>
      </c>
      <c r="AE17">
        <v>0</v>
      </c>
      <c r="AF17">
        <v>31.26</v>
      </c>
      <c r="AG17">
        <v>13.5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1</v>
      </c>
      <c r="AQ17">
        <v>0</v>
      </c>
      <c r="AR17">
        <v>0</v>
      </c>
      <c r="AT17">
        <v>0.21</v>
      </c>
      <c r="AU17" t="s">
        <v>57</v>
      </c>
      <c r="AV17">
        <v>0</v>
      </c>
      <c r="AW17">
        <v>2</v>
      </c>
      <c r="AX17">
        <v>55667399</v>
      </c>
      <c r="AY17">
        <v>1</v>
      </c>
      <c r="AZ17">
        <v>0</v>
      </c>
      <c r="BA17">
        <v>19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Y17*Source!I34</f>
        <v>0.32592</v>
      </c>
      <c r="CY17">
        <f>AB17</f>
        <v>31.26</v>
      </c>
      <c r="CZ17">
        <f>AF17</f>
        <v>31.26</v>
      </c>
      <c r="DA17">
        <f>AJ17</f>
        <v>1</v>
      </c>
      <c r="DB17">
        <f t="shared" si="0"/>
        <v>10.5</v>
      </c>
      <c r="DC17">
        <f t="shared" si="1"/>
        <v>4.54</v>
      </c>
    </row>
    <row r="18" spans="1:107" ht="12.75">
      <c r="A18">
        <f>ROW(Source!A34)</f>
        <v>34</v>
      </c>
      <c r="B18">
        <v>55655398</v>
      </c>
      <c r="C18">
        <v>55667396</v>
      </c>
      <c r="D18">
        <v>53792275</v>
      </c>
      <c r="E18">
        <v>1</v>
      </c>
      <c r="F18">
        <v>1</v>
      </c>
      <c r="G18">
        <v>1</v>
      </c>
      <c r="H18">
        <v>2</v>
      </c>
      <c r="I18" t="s">
        <v>283</v>
      </c>
      <c r="J18" t="s">
        <v>284</v>
      </c>
      <c r="K18" t="s">
        <v>285</v>
      </c>
      <c r="L18">
        <v>1367</v>
      </c>
      <c r="N18">
        <v>1011</v>
      </c>
      <c r="O18" t="s">
        <v>282</v>
      </c>
      <c r="P18" t="s">
        <v>282</v>
      </c>
      <c r="Q18">
        <v>1</v>
      </c>
      <c r="W18">
        <v>0</v>
      </c>
      <c r="X18">
        <v>-1322498708</v>
      </c>
      <c r="Y18">
        <v>3.2</v>
      </c>
      <c r="AA18">
        <v>0</v>
      </c>
      <c r="AB18">
        <v>0.5</v>
      </c>
      <c r="AC18">
        <v>0</v>
      </c>
      <c r="AD18">
        <v>0</v>
      </c>
      <c r="AE18">
        <v>0</v>
      </c>
      <c r="AF18">
        <v>0.5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2</v>
      </c>
      <c r="AU18" t="s">
        <v>57</v>
      </c>
      <c r="AV18">
        <v>0</v>
      </c>
      <c r="AW18">
        <v>2</v>
      </c>
      <c r="AX18">
        <v>55667400</v>
      </c>
      <c r="AY18">
        <v>1</v>
      </c>
      <c r="AZ18">
        <v>0</v>
      </c>
      <c r="BA18">
        <v>20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Y18*Source!I34</f>
        <v>3.104</v>
      </c>
      <c r="CY18">
        <f>AB18</f>
        <v>0.5</v>
      </c>
      <c r="CZ18">
        <f>AF18</f>
        <v>0.5</v>
      </c>
      <c r="DA18">
        <f>AJ18</f>
        <v>1</v>
      </c>
      <c r="DB18">
        <f t="shared" si="0"/>
        <v>1.6</v>
      </c>
      <c r="DC18">
        <f t="shared" si="1"/>
        <v>0</v>
      </c>
    </row>
    <row r="19" spans="1:107" ht="12.75">
      <c r="A19">
        <f>ROW(Source!A35)</f>
        <v>35</v>
      </c>
      <c r="B19">
        <v>55655399</v>
      </c>
      <c r="C19">
        <v>55667396</v>
      </c>
      <c r="D19">
        <v>53630033</v>
      </c>
      <c r="E19">
        <v>70</v>
      </c>
      <c r="F19">
        <v>1</v>
      </c>
      <c r="G19">
        <v>1</v>
      </c>
      <c r="H19">
        <v>1</v>
      </c>
      <c r="I19" t="s">
        <v>268</v>
      </c>
      <c r="K19" t="s">
        <v>286</v>
      </c>
      <c r="L19">
        <v>1191</v>
      </c>
      <c r="N19">
        <v>1013</v>
      </c>
      <c r="O19" t="s">
        <v>270</v>
      </c>
      <c r="P19" t="s">
        <v>270</v>
      </c>
      <c r="Q19">
        <v>1</v>
      </c>
      <c r="W19">
        <v>0</v>
      </c>
      <c r="X19">
        <v>2031828327</v>
      </c>
      <c r="Y19">
        <v>0.7040000000000001</v>
      </c>
      <c r="AA19">
        <v>0</v>
      </c>
      <c r="AB19">
        <v>0</v>
      </c>
      <c r="AC19">
        <v>0</v>
      </c>
      <c r="AD19">
        <v>291.25</v>
      </c>
      <c r="AE19">
        <v>0</v>
      </c>
      <c r="AF19">
        <v>0</v>
      </c>
      <c r="AG19">
        <v>0</v>
      </c>
      <c r="AH19">
        <v>7.8</v>
      </c>
      <c r="AI19">
        <v>1</v>
      </c>
      <c r="AJ19">
        <v>1</v>
      </c>
      <c r="AK19">
        <v>1</v>
      </c>
      <c r="AL19">
        <v>37.34</v>
      </c>
      <c r="AN19">
        <v>0</v>
      </c>
      <c r="AO19">
        <v>1</v>
      </c>
      <c r="AP19">
        <v>1</v>
      </c>
      <c r="AQ19">
        <v>0</v>
      </c>
      <c r="AR19">
        <v>0</v>
      </c>
      <c r="AT19">
        <v>0.44</v>
      </c>
      <c r="AU19" t="s">
        <v>57</v>
      </c>
      <c r="AV19">
        <v>1</v>
      </c>
      <c r="AW19">
        <v>2</v>
      </c>
      <c r="AX19">
        <v>55667397</v>
      </c>
      <c r="AY19">
        <v>1</v>
      </c>
      <c r="AZ19">
        <v>0</v>
      </c>
      <c r="BA19">
        <v>22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Y19*Source!I35</f>
        <v>0.68288</v>
      </c>
      <c r="CY19">
        <f>AD19</f>
        <v>291.25</v>
      </c>
      <c r="CZ19">
        <f>AH19</f>
        <v>7.8</v>
      </c>
      <c r="DA19">
        <f>AL19</f>
        <v>37.34</v>
      </c>
      <c r="DB19">
        <f t="shared" si="0"/>
        <v>5.49</v>
      </c>
      <c r="DC19">
        <f t="shared" si="1"/>
        <v>0</v>
      </c>
    </row>
    <row r="20" spans="1:107" ht="12.75">
      <c r="A20">
        <f>ROW(Source!A35)</f>
        <v>35</v>
      </c>
      <c r="B20">
        <v>55655399</v>
      </c>
      <c r="C20">
        <v>55667396</v>
      </c>
      <c r="D20">
        <v>53630257</v>
      </c>
      <c r="E20">
        <v>70</v>
      </c>
      <c r="F20">
        <v>1</v>
      </c>
      <c r="G20">
        <v>1</v>
      </c>
      <c r="H20">
        <v>1</v>
      </c>
      <c r="I20" t="s">
        <v>277</v>
      </c>
      <c r="K20" t="s">
        <v>278</v>
      </c>
      <c r="L20">
        <v>1191</v>
      </c>
      <c r="N20">
        <v>1013</v>
      </c>
      <c r="O20" t="s">
        <v>270</v>
      </c>
      <c r="P20" t="s">
        <v>270</v>
      </c>
      <c r="Q20">
        <v>1</v>
      </c>
      <c r="W20">
        <v>0</v>
      </c>
      <c r="X20">
        <v>-1417349443</v>
      </c>
      <c r="Y20">
        <v>0.336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37.34</v>
      </c>
      <c r="AL20">
        <v>1</v>
      </c>
      <c r="AN20">
        <v>0</v>
      </c>
      <c r="AO20">
        <v>1</v>
      </c>
      <c r="AP20">
        <v>1</v>
      </c>
      <c r="AQ20">
        <v>0</v>
      </c>
      <c r="AR20">
        <v>0</v>
      </c>
      <c r="AT20">
        <v>0.21</v>
      </c>
      <c r="AU20" t="s">
        <v>57</v>
      </c>
      <c r="AV20">
        <v>2</v>
      </c>
      <c r="AW20">
        <v>2</v>
      </c>
      <c r="AX20">
        <v>55667398</v>
      </c>
      <c r="AY20">
        <v>1</v>
      </c>
      <c r="AZ20">
        <v>0</v>
      </c>
      <c r="BA20">
        <v>23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Y20*Source!I35</f>
        <v>0.32592</v>
      </c>
      <c r="CY20">
        <f>AD20</f>
        <v>0</v>
      </c>
      <c r="CZ20">
        <f>AH20</f>
        <v>0</v>
      </c>
      <c r="DA20">
        <f>AL20</f>
        <v>1</v>
      </c>
      <c r="DB20">
        <f t="shared" si="0"/>
        <v>0</v>
      </c>
      <c r="DC20">
        <f t="shared" si="1"/>
        <v>0</v>
      </c>
    </row>
    <row r="21" spans="1:107" ht="12.75">
      <c r="A21">
        <f>ROW(Source!A35)</f>
        <v>35</v>
      </c>
      <c r="B21">
        <v>55655399</v>
      </c>
      <c r="C21">
        <v>55667396</v>
      </c>
      <c r="D21">
        <v>53792191</v>
      </c>
      <c r="E21">
        <v>1</v>
      </c>
      <c r="F21">
        <v>1</v>
      </c>
      <c r="G21">
        <v>1</v>
      </c>
      <c r="H21">
        <v>2</v>
      </c>
      <c r="I21" t="s">
        <v>279</v>
      </c>
      <c r="J21" t="s">
        <v>280</v>
      </c>
      <c r="K21" t="s">
        <v>281</v>
      </c>
      <c r="L21">
        <v>1367</v>
      </c>
      <c r="N21">
        <v>1011</v>
      </c>
      <c r="O21" t="s">
        <v>282</v>
      </c>
      <c r="P21" t="s">
        <v>282</v>
      </c>
      <c r="Q21">
        <v>1</v>
      </c>
      <c r="W21">
        <v>0</v>
      </c>
      <c r="X21">
        <v>1232162608</v>
      </c>
      <c r="Y21">
        <v>0.336</v>
      </c>
      <c r="AA21">
        <v>0</v>
      </c>
      <c r="AB21">
        <v>413.88</v>
      </c>
      <c r="AC21">
        <v>504.09</v>
      </c>
      <c r="AD21">
        <v>0</v>
      </c>
      <c r="AE21">
        <v>0</v>
      </c>
      <c r="AF21">
        <v>31.26</v>
      </c>
      <c r="AG21">
        <v>13.5</v>
      </c>
      <c r="AH21">
        <v>0</v>
      </c>
      <c r="AI21">
        <v>1</v>
      </c>
      <c r="AJ21">
        <v>13.24</v>
      </c>
      <c r="AK21">
        <v>37.34</v>
      </c>
      <c r="AL21">
        <v>1</v>
      </c>
      <c r="AN21">
        <v>0</v>
      </c>
      <c r="AO21">
        <v>1</v>
      </c>
      <c r="AP21">
        <v>1</v>
      </c>
      <c r="AQ21">
        <v>0</v>
      </c>
      <c r="AR21">
        <v>0</v>
      </c>
      <c r="AT21">
        <v>0.21</v>
      </c>
      <c r="AU21" t="s">
        <v>57</v>
      </c>
      <c r="AV21">
        <v>0</v>
      </c>
      <c r="AW21">
        <v>2</v>
      </c>
      <c r="AX21">
        <v>55667399</v>
      </c>
      <c r="AY21">
        <v>1</v>
      </c>
      <c r="AZ21">
        <v>0</v>
      </c>
      <c r="BA21">
        <v>24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Y21*Source!I35</f>
        <v>0.32592</v>
      </c>
      <c r="CY21">
        <f>AB21</f>
        <v>413.88</v>
      </c>
      <c r="CZ21">
        <f>AF21</f>
        <v>31.26</v>
      </c>
      <c r="DA21">
        <f>AJ21</f>
        <v>13.24</v>
      </c>
      <c r="DB21">
        <f t="shared" si="0"/>
        <v>10.5</v>
      </c>
      <c r="DC21">
        <f t="shared" si="1"/>
        <v>4.54</v>
      </c>
    </row>
    <row r="22" spans="1:107" ht="12.75">
      <c r="A22">
        <f>ROW(Source!A35)</f>
        <v>35</v>
      </c>
      <c r="B22">
        <v>55655399</v>
      </c>
      <c r="C22">
        <v>55667396</v>
      </c>
      <c r="D22">
        <v>53792275</v>
      </c>
      <c r="E22">
        <v>1</v>
      </c>
      <c r="F22">
        <v>1</v>
      </c>
      <c r="G22">
        <v>1</v>
      </c>
      <c r="H22">
        <v>2</v>
      </c>
      <c r="I22" t="s">
        <v>283</v>
      </c>
      <c r="J22" t="s">
        <v>284</v>
      </c>
      <c r="K22" t="s">
        <v>285</v>
      </c>
      <c r="L22">
        <v>1367</v>
      </c>
      <c r="N22">
        <v>1011</v>
      </c>
      <c r="O22" t="s">
        <v>282</v>
      </c>
      <c r="P22" t="s">
        <v>282</v>
      </c>
      <c r="Q22">
        <v>1</v>
      </c>
      <c r="W22">
        <v>0</v>
      </c>
      <c r="X22">
        <v>-1322498708</v>
      </c>
      <c r="Y22">
        <v>3.2</v>
      </c>
      <c r="AA22">
        <v>0</v>
      </c>
      <c r="AB22">
        <v>6.62</v>
      </c>
      <c r="AC22">
        <v>0</v>
      </c>
      <c r="AD22">
        <v>0</v>
      </c>
      <c r="AE22">
        <v>0</v>
      </c>
      <c r="AF22">
        <v>0.5</v>
      </c>
      <c r="AG22">
        <v>0</v>
      </c>
      <c r="AH22">
        <v>0</v>
      </c>
      <c r="AI22">
        <v>1</v>
      </c>
      <c r="AJ22">
        <v>13.24</v>
      </c>
      <c r="AK22">
        <v>37.34</v>
      </c>
      <c r="AL22">
        <v>1</v>
      </c>
      <c r="AN22">
        <v>0</v>
      </c>
      <c r="AO22">
        <v>1</v>
      </c>
      <c r="AP22">
        <v>1</v>
      </c>
      <c r="AQ22">
        <v>0</v>
      </c>
      <c r="AR22">
        <v>0</v>
      </c>
      <c r="AT22">
        <v>2</v>
      </c>
      <c r="AU22" t="s">
        <v>57</v>
      </c>
      <c r="AV22">
        <v>0</v>
      </c>
      <c r="AW22">
        <v>2</v>
      </c>
      <c r="AX22">
        <v>55667400</v>
      </c>
      <c r="AY22">
        <v>1</v>
      </c>
      <c r="AZ22">
        <v>0</v>
      </c>
      <c r="BA22">
        <v>25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Y22*Source!I35</f>
        <v>3.104</v>
      </c>
      <c r="CY22">
        <f>AB22</f>
        <v>6.62</v>
      </c>
      <c r="CZ22">
        <f>AF22</f>
        <v>0.5</v>
      </c>
      <c r="DA22">
        <f>AJ22</f>
        <v>13.24</v>
      </c>
      <c r="DB22">
        <f t="shared" si="0"/>
        <v>1.6</v>
      </c>
      <c r="DC22">
        <f t="shared" si="1"/>
        <v>0</v>
      </c>
    </row>
    <row r="23" spans="1:107" ht="12.75">
      <c r="A23">
        <f>ROW(Source!A71)</f>
        <v>71</v>
      </c>
      <c r="B23">
        <v>55655398</v>
      </c>
      <c r="C23">
        <v>55655662</v>
      </c>
      <c r="D23">
        <v>49459389</v>
      </c>
      <c r="E23">
        <v>58</v>
      </c>
      <c r="F23">
        <v>1</v>
      </c>
      <c r="G23">
        <v>1</v>
      </c>
      <c r="H23">
        <v>1</v>
      </c>
      <c r="I23" t="s">
        <v>287</v>
      </c>
      <c r="K23" t="s">
        <v>288</v>
      </c>
      <c r="L23">
        <v>1191</v>
      </c>
      <c r="N23">
        <v>1013</v>
      </c>
      <c r="O23" t="s">
        <v>270</v>
      </c>
      <c r="P23" t="s">
        <v>270</v>
      </c>
      <c r="Q23">
        <v>1</v>
      </c>
      <c r="W23">
        <v>0</v>
      </c>
      <c r="X23">
        <v>1010519658</v>
      </c>
      <c r="Y23">
        <v>27.945</v>
      </c>
      <c r="AA23">
        <v>0</v>
      </c>
      <c r="AB23">
        <v>0</v>
      </c>
      <c r="AC23">
        <v>0</v>
      </c>
      <c r="AD23">
        <v>8.64</v>
      </c>
      <c r="AE23">
        <v>0</v>
      </c>
      <c r="AF23">
        <v>0</v>
      </c>
      <c r="AG23">
        <v>0</v>
      </c>
      <c r="AH23">
        <v>8.64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1</v>
      </c>
      <c r="AQ23">
        <v>0</v>
      </c>
      <c r="AR23">
        <v>0</v>
      </c>
      <c r="AT23">
        <v>24.3</v>
      </c>
      <c r="AU23" t="s">
        <v>118</v>
      </c>
      <c r="AV23">
        <v>1</v>
      </c>
      <c r="AW23">
        <v>2</v>
      </c>
      <c r="AX23">
        <v>55655671</v>
      </c>
      <c r="AY23">
        <v>1</v>
      </c>
      <c r="AZ23">
        <v>0</v>
      </c>
      <c r="BA23">
        <v>27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Y23*Source!I71</f>
        <v>27.10665</v>
      </c>
      <c r="CY23">
        <f>AD23</f>
        <v>8.64</v>
      </c>
      <c r="CZ23">
        <f>AH23</f>
        <v>8.64</v>
      </c>
      <c r="DA23">
        <f>AL23</f>
        <v>1</v>
      </c>
      <c r="DB23">
        <f>ROUND((ROUND(AT23*CZ23,2)*ROUND(1.15,7)),2)</f>
        <v>241.44</v>
      </c>
      <c r="DC23">
        <f>ROUND((ROUND(AT23*AG23,2)*ROUND(1.15,7)),2)</f>
        <v>0</v>
      </c>
    </row>
    <row r="24" spans="1:107" ht="12.75">
      <c r="A24">
        <f>ROW(Source!A71)</f>
        <v>71</v>
      </c>
      <c r="B24">
        <v>55655398</v>
      </c>
      <c r="C24">
        <v>55655662</v>
      </c>
      <c r="D24">
        <v>49459566</v>
      </c>
      <c r="E24">
        <v>58</v>
      </c>
      <c r="F24">
        <v>1</v>
      </c>
      <c r="G24">
        <v>1</v>
      </c>
      <c r="H24">
        <v>1</v>
      </c>
      <c r="I24" t="s">
        <v>289</v>
      </c>
      <c r="K24" t="s">
        <v>278</v>
      </c>
      <c r="L24">
        <v>1191</v>
      </c>
      <c r="N24">
        <v>1013</v>
      </c>
      <c r="O24" t="s">
        <v>270</v>
      </c>
      <c r="P24" t="s">
        <v>270</v>
      </c>
      <c r="Q24">
        <v>1</v>
      </c>
      <c r="W24">
        <v>0</v>
      </c>
      <c r="X24">
        <v>-1173606021</v>
      </c>
      <c r="Y24">
        <v>2.425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1</v>
      </c>
      <c r="AQ24">
        <v>0</v>
      </c>
      <c r="AR24">
        <v>0</v>
      </c>
      <c r="AT24">
        <v>1.94</v>
      </c>
      <c r="AU24" t="s">
        <v>117</v>
      </c>
      <c r="AV24">
        <v>2</v>
      </c>
      <c r="AW24">
        <v>2</v>
      </c>
      <c r="AX24">
        <v>55655672</v>
      </c>
      <c r="AY24">
        <v>1</v>
      </c>
      <c r="AZ24">
        <v>0</v>
      </c>
      <c r="BA24">
        <v>28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Y24*Source!I71</f>
        <v>2.3522499999999997</v>
      </c>
      <c r="CY24">
        <f>AD24</f>
        <v>0</v>
      </c>
      <c r="CZ24">
        <f>AH24</f>
        <v>0</v>
      </c>
      <c r="DA24">
        <f>AL24</f>
        <v>1</v>
      </c>
      <c r="DB24">
        <f>ROUND((ROUND(AT24*CZ24,2)*ROUND(1.25,7)),2)</f>
        <v>0</v>
      </c>
      <c r="DC24">
        <f>ROUND((ROUND(AT24*AG24,2)*ROUND(1.25,7)),2)</f>
        <v>0</v>
      </c>
    </row>
    <row r="25" spans="1:107" ht="12.75">
      <c r="A25">
        <f>ROW(Source!A71)</f>
        <v>71</v>
      </c>
      <c r="B25">
        <v>55655398</v>
      </c>
      <c r="C25">
        <v>55655662</v>
      </c>
      <c r="D25">
        <v>49620286</v>
      </c>
      <c r="E25">
        <v>1</v>
      </c>
      <c r="F25">
        <v>1</v>
      </c>
      <c r="G25">
        <v>1</v>
      </c>
      <c r="H25">
        <v>2</v>
      </c>
      <c r="I25" t="s">
        <v>290</v>
      </c>
      <c r="J25" t="s">
        <v>291</v>
      </c>
      <c r="K25" t="s">
        <v>292</v>
      </c>
      <c r="L25">
        <v>1368</v>
      </c>
      <c r="N25">
        <v>1011</v>
      </c>
      <c r="O25" t="s">
        <v>274</v>
      </c>
      <c r="P25" t="s">
        <v>274</v>
      </c>
      <c r="Q25">
        <v>1</v>
      </c>
      <c r="W25">
        <v>0</v>
      </c>
      <c r="X25">
        <v>-1554407757</v>
      </c>
      <c r="Y25">
        <v>0.8500000000000001</v>
      </c>
      <c r="AA25">
        <v>0</v>
      </c>
      <c r="AB25">
        <v>86.4</v>
      </c>
      <c r="AC25">
        <v>13.5</v>
      </c>
      <c r="AD25">
        <v>0</v>
      </c>
      <c r="AE25">
        <v>0</v>
      </c>
      <c r="AF25">
        <v>86.4</v>
      </c>
      <c r="AG25">
        <v>13.5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1</v>
      </c>
      <c r="AQ25">
        <v>0</v>
      </c>
      <c r="AR25">
        <v>0</v>
      </c>
      <c r="AT25">
        <v>0.68</v>
      </c>
      <c r="AU25" t="s">
        <v>117</v>
      </c>
      <c r="AV25">
        <v>0</v>
      </c>
      <c r="AW25">
        <v>2</v>
      </c>
      <c r="AX25">
        <v>55655673</v>
      </c>
      <c r="AY25">
        <v>1</v>
      </c>
      <c r="AZ25">
        <v>0</v>
      </c>
      <c r="BA25">
        <v>29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Y25*Source!I71</f>
        <v>0.8245</v>
      </c>
      <c r="CY25">
        <f>AB25</f>
        <v>86.4</v>
      </c>
      <c r="CZ25">
        <f>AF25</f>
        <v>86.4</v>
      </c>
      <c r="DA25">
        <f>AJ25</f>
        <v>1</v>
      </c>
      <c r="DB25">
        <f>ROUND((ROUND(AT25*CZ25,2)*ROUND(1.25,7)),2)</f>
        <v>73.44</v>
      </c>
      <c r="DC25">
        <f>ROUND((ROUND(AT25*AG25,2)*ROUND(1.25,7)),2)</f>
        <v>11.48</v>
      </c>
    </row>
    <row r="26" spans="1:107" ht="12.75">
      <c r="A26">
        <f>ROW(Source!A71)</f>
        <v>71</v>
      </c>
      <c r="B26">
        <v>55655398</v>
      </c>
      <c r="C26">
        <v>55655662</v>
      </c>
      <c r="D26">
        <v>49620499</v>
      </c>
      <c r="E26">
        <v>1</v>
      </c>
      <c r="F26">
        <v>1</v>
      </c>
      <c r="G26">
        <v>1</v>
      </c>
      <c r="H26">
        <v>2</v>
      </c>
      <c r="I26" t="s">
        <v>293</v>
      </c>
      <c r="J26" t="s">
        <v>294</v>
      </c>
      <c r="K26" t="s">
        <v>295</v>
      </c>
      <c r="L26">
        <v>1368</v>
      </c>
      <c r="N26">
        <v>1011</v>
      </c>
      <c r="O26" t="s">
        <v>274</v>
      </c>
      <c r="P26" t="s">
        <v>274</v>
      </c>
      <c r="Q26">
        <v>1</v>
      </c>
      <c r="W26">
        <v>0</v>
      </c>
      <c r="X26">
        <v>-1845589996</v>
      </c>
      <c r="Y26">
        <v>1.575</v>
      </c>
      <c r="AA26">
        <v>0</v>
      </c>
      <c r="AB26">
        <v>89.99</v>
      </c>
      <c r="AC26">
        <v>10.06</v>
      </c>
      <c r="AD26">
        <v>0</v>
      </c>
      <c r="AE26">
        <v>0</v>
      </c>
      <c r="AF26">
        <v>89.99</v>
      </c>
      <c r="AG26">
        <v>10.06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1</v>
      </c>
      <c r="AQ26">
        <v>0</v>
      </c>
      <c r="AR26">
        <v>0</v>
      </c>
      <c r="AT26">
        <v>1.26</v>
      </c>
      <c r="AU26" t="s">
        <v>117</v>
      </c>
      <c r="AV26">
        <v>0</v>
      </c>
      <c r="AW26">
        <v>2</v>
      </c>
      <c r="AX26">
        <v>55655674</v>
      </c>
      <c r="AY26">
        <v>1</v>
      </c>
      <c r="AZ26">
        <v>0</v>
      </c>
      <c r="BA26">
        <v>30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Y26*Source!I71</f>
        <v>1.52775</v>
      </c>
      <c r="CY26">
        <f>AB26</f>
        <v>89.99</v>
      </c>
      <c r="CZ26">
        <f>AF26</f>
        <v>89.99</v>
      </c>
      <c r="DA26">
        <f>AJ26</f>
        <v>1</v>
      </c>
      <c r="DB26">
        <f>ROUND((ROUND(AT26*CZ26,2)*ROUND(1.25,7)),2)</f>
        <v>141.74</v>
      </c>
      <c r="DC26">
        <f>ROUND((ROUND(AT26*AG26,2)*ROUND(1.25,7)),2)</f>
        <v>15.85</v>
      </c>
    </row>
    <row r="27" spans="1:107" ht="12.75">
      <c r="A27">
        <f>ROW(Source!A71)</f>
        <v>71</v>
      </c>
      <c r="B27">
        <v>55655398</v>
      </c>
      <c r="C27">
        <v>55655662</v>
      </c>
      <c r="D27">
        <v>49620642</v>
      </c>
      <c r="E27">
        <v>1</v>
      </c>
      <c r="F27">
        <v>1</v>
      </c>
      <c r="G27">
        <v>1</v>
      </c>
      <c r="H27">
        <v>2</v>
      </c>
      <c r="I27" t="s">
        <v>296</v>
      </c>
      <c r="J27" t="s">
        <v>297</v>
      </c>
      <c r="K27" t="s">
        <v>298</v>
      </c>
      <c r="L27">
        <v>1368</v>
      </c>
      <c r="N27">
        <v>1011</v>
      </c>
      <c r="O27" t="s">
        <v>274</v>
      </c>
      <c r="P27" t="s">
        <v>274</v>
      </c>
      <c r="Q27">
        <v>1</v>
      </c>
      <c r="W27">
        <v>0</v>
      </c>
      <c r="X27">
        <v>1974224678</v>
      </c>
      <c r="Y27">
        <v>2.8625</v>
      </c>
      <c r="AA27">
        <v>0</v>
      </c>
      <c r="AB27">
        <v>7.77</v>
      </c>
      <c r="AC27">
        <v>0</v>
      </c>
      <c r="AD27">
        <v>0</v>
      </c>
      <c r="AE27">
        <v>0</v>
      </c>
      <c r="AF27">
        <v>7.77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1</v>
      </c>
      <c r="AQ27">
        <v>0</v>
      </c>
      <c r="AR27">
        <v>0</v>
      </c>
      <c r="AT27">
        <v>2.29</v>
      </c>
      <c r="AU27" t="s">
        <v>117</v>
      </c>
      <c r="AV27">
        <v>0</v>
      </c>
      <c r="AW27">
        <v>2</v>
      </c>
      <c r="AX27">
        <v>55655675</v>
      </c>
      <c r="AY27">
        <v>1</v>
      </c>
      <c r="AZ27">
        <v>0</v>
      </c>
      <c r="BA27">
        <v>31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Y27*Source!I71</f>
        <v>2.7766249999999997</v>
      </c>
      <c r="CY27">
        <f>AB27</f>
        <v>7.77</v>
      </c>
      <c r="CZ27">
        <f>AF27</f>
        <v>7.77</v>
      </c>
      <c r="DA27">
        <f>AJ27</f>
        <v>1</v>
      </c>
      <c r="DB27">
        <f>ROUND((ROUND(AT27*CZ27,2)*ROUND(1.25,7)),2)</f>
        <v>22.24</v>
      </c>
      <c r="DC27">
        <f>ROUND((ROUND(AT27*AG27,2)*ROUND(1.25,7)),2)</f>
        <v>0</v>
      </c>
    </row>
    <row r="28" spans="1:107" ht="12.75">
      <c r="A28">
        <f>ROW(Source!A71)</f>
        <v>71</v>
      </c>
      <c r="B28">
        <v>55655398</v>
      </c>
      <c r="C28">
        <v>55655662</v>
      </c>
      <c r="D28">
        <v>49471536</v>
      </c>
      <c r="E28">
        <v>1</v>
      </c>
      <c r="F28">
        <v>1</v>
      </c>
      <c r="G28">
        <v>1</v>
      </c>
      <c r="H28">
        <v>3</v>
      </c>
      <c r="I28" t="s">
        <v>48</v>
      </c>
      <c r="J28" t="s">
        <v>51</v>
      </c>
      <c r="K28" t="s">
        <v>49</v>
      </c>
      <c r="L28">
        <v>1339</v>
      </c>
      <c r="N28">
        <v>1007</v>
      </c>
      <c r="O28" t="s">
        <v>50</v>
      </c>
      <c r="P28" t="s">
        <v>50</v>
      </c>
      <c r="Q28">
        <v>1</v>
      </c>
      <c r="W28">
        <v>0</v>
      </c>
      <c r="X28">
        <v>-1033255509</v>
      </c>
      <c r="Y28">
        <v>3.85</v>
      </c>
      <c r="AA28">
        <v>2.44</v>
      </c>
      <c r="AB28">
        <v>0</v>
      </c>
      <c r="AC28">
        <v>0</v>
      </c>
      <c r="AD28">
        <v>0</v>
      </c>
      <c r="AE28">
        <v>2.44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3.85</v>
      </c>
      <c r="AV28">
        <v>0</v>
      </c>
      <c r="AW28">
        <v>2</v>
      </c>
      <c r="AX28">
        <v>55655676</v>
      </c>
      <c r="AY28">
        <v>1</v>
      </c>
      <c r="AZ28">
        <v>0</v>
      </c>
      <c r="BA28">
        <v>32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Y28*Source!I71</f>
        <v>3.7345</v>
      </c>
      <c r="CY28">
        <f>AA28</f>
        <v>2.44</v>
      </c>
      <c r="CZ28">
        <f>AE28</f>
        <v>2.44</v>
      </c>
      <c r="DA28">
        <f>AI28</f>
        <v>1</v>
      </c>
      <c r="DB28">
        <f>ROUND(ROUND(AT28*CZ28,2),2)</f>
        <v>9.39</v>
      </c>
      <c r="DC28">
        <f>ROUND(ROUND(AT28*AG28,2),2)</f>
        <v>0</v>
      </c>
    </row>
    <row r="29" spans="1:107" ht="12.75">
      <c r="A29">
        <f>ROW(Source!A71)</f>
        <v>71</v>
      </c>
      <c r="B29">
        <v>55655398</v>
      </c>
      <c r="C29">
        <v>55655662</v>
      </c>
      <c r="D29">
        <v>53648308</v>
      </c>
      <c r="E29">
        <v>1</v>
      </c>
      <c r="F29">
        <v>1</v>
      </c>
      <c r="G29">
        <v>1</v>
      </c>
      <c r="H29">
        <v>3</v>
      </c>
      <c r="I29" t="s">
        <v>127</v>
      </c>
      <c r="J29" t="s">
        <v>130</v>
      </c>
      <c r="K29" t="s">
        <v>128</v>
      </c>
      <c r="L29">
        <v>1348</v>
      </c>
      <c r="N29">
        <v>1009</v>
      </c>
      <c r="O29" t="s">
        <v>129</v>
      </c>
      <c r="P29" t="s">
        <v>129</v>
      </c>
      <c r="Q29">
        <v>1000</v>
      </c>
      <c r="W29">
        <v>0</v>
      </c>
      <c r="X29">
        <v>-1961211957</v>
      </c>
      <c r="Y29">
        <v>2.707966</v>
      </c>
      <c r="AA29">
        <v>1243.05</v>
      </c>
      <c r="AB29">
        <v>0</v>
      </c>
      <c r="AC29">
        <v>0</v>
      </c>
      <c r="AD29">
        <v>0</v>
      </c>
      <c r="AE29">
        <v>1243.05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0</v>
      </c>
      <c r="AP29">
        <v>0</v>
      </c>
      <c r="AQ29">
        <v>0</v>
      </c>
      <c r="AR29">
        <v>0</v>
      </c>
      <c r="AT29">
        <v>2.707966</v>
      </c>
      <c r="AV29">
        <v>0</v>
      </c>
      <c r="AW29">
        <v>1</v>
      </c>
      <c r="AX29">
        <v>-1</v>
      </c>
      <c r="AY29">
        <v>0</v>
      </c>
      <c r="AZ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Y29*Source!I71</f>
        <v>2.6267270199999997</v>
      </c>
      <c r="CY29">
        <f>AA29</f>
        <v>1243.05</v>
      </c>
      <c r="CZ29">
        <f>AE29</f>
        <v>1243.05</v>
      </c>
      <c r="DA29">
        <f>AI29</f>
        <v>1</v>
      </c>
      <c r="DB29">
        <f>ROUND(ROUND(AT29*CZ29,2),2)</f>
        <v>3366.14</v>
      </c>
      <c r="DC29">
        <f>ROUND(ROUND(AT29*AG29,2),2)</f>
        <v>0</v>
      </c>
    </row>
    <row r="30" spans="1:107" ht="12.75">
      <c r="A30">
        <f>ROW(Source!A71)</f>
        <v>71</v>
      </c>
      <c r="B30">
        <v>55655398</v>
      </c>
      <c r="C30">
        <v>55655662</v>
      </c>
      <c r="D30">
        <v>49497472</v>
      </c>
      <c r="E30">
        <v>1</v>
      </c>
      <c r="F30">
        <v>1</v>
      </c>
      <c r="G30">
        <v>1</v>
      </c>
      <c r="H30">
        <v>3</v>
      </c>
      <c r="I30" t="s">
        <v>299</v>
      </c>
      <c r="J30" t="s">
        <v>300</v>
      </c>
      <c r="K30" t="s">
        <v>301</v>
      </c>
      <c r="L30">
        <v>1327</v>
      </c>
      <c r="N30">
        <v>1005</v>
      </c>
      <c r="O30" t="s">
        <v>154</v>
      </c>
      <c r="P30" t="s">
        <v>154</v>
      </c>
      <c r="Q30">
        <v>1</v>
      </c>
      <c r="W30">
        <v>0</v>
      </c>
      <c r="X30">
        <v>1228981401</v>
      </c>
      <c r="Y30">
        <v>4.4</v>
      </c>
      <c r="AA30">
        <v>6.2</v>
      </c>
      <c r="AB30">
        <v>0</v>
      </c>
      <c r="AC30">
        <v>0</v>
      </c>
      <c r="AD30">
        <v>0</v>
      </c>
      <c r="AE30">
        <v>6.2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4.4</v>
      </c>
      <c r="AV30">
        <v>0</v>
      </c>
      <c r="AW30">
        <v>2</v>
      </c>
      <c r="AX30">
        <v>55655678</v>
      </c>
      <c r="AY30">
        <v>1</v>
      </c>
      <c r="AZ30">
        <v>0</v>
      </c>
      <c r="BA30">
        <v>34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Y30*Source!I71</f>
        <v>4.268</v>
      </c>
      <c r="CY30">
        <f>AA30</f>
        <v>6.2</v>
      </c>
      <c r="CZ30">
        <f>AE30</f>
        <v>6.2</v>
      </c>
      <c r="DA30">
        <f>AI30</f>
        <v>1</v>
      </c>
      <c r="DB30">
        <f>ROUND(ROUND(AT30*CZ30,2),2)</f>
        <v>27.28</v>
      </c>
      <c r="DC30">
        <f>ROUND(ROUND(AT30*AG30,2),2)</f>
        <v>0</v>
      </c>
    </row>
    <row r="31" spans="1:107" ht="12.75">
      <c r="A31">
        <f>ROW(Source!A72)</f>
        <v>72</v>
      </c>
      <c r="B31">
        <v>55655399</v>
      </c>
      <c r="C31">
        <v>55655662</v>
      </c>
      <c r="D31">
        <v>49459389</v>
      </c>
      <c r="E31">
        <v>58</v>
      </c>
      <c r="F31">
        <v>1</v>
      </c>
      <c r="G31">
        <v>1</v>
      </c>
      <c r="H31">
        <v>1</v>
      </c>
      <c r="I31" t="s">
        <v>287</v>
      </c>
      <c r="K31" t="s">
        <v>288</v>
      </c>
      <c r="L31">
        <v>1191</v>
      </c>
      <c r="N31">
        <v>1013</v>
      </c>
      <c r="O31" t="s">
        <v>270</v>
      </c>
      <c r="P31" t="s">
        <v>270</v>
      </c>
      <c r="Q31">
        <v>1</v>
      </c>
      <c r="W31">
        <v>0</v>
      </c>
      <c r="X31">
        <v>1010519658</v>
      </c>
      <c r="Y31">
        <v>27.945</v>
      </c>
      <c r="AA31">
        <v>0</v>
      </c>
      <c r="AB31">
        <v>0</v>
      </c>
      <c r="AC31">
        <v>0</v>
      </c>
      <c r="AD31">
        <v>322.62</v>
      </c>
      <c r="AE31">
        <v>0</v>
      </c>
      <c r="AF31">
        <v>0</v>
      </c>
      <c r="AG31">
        <v>0</v>
      </c>
      <c r="AH31">
        <v>8.64</v>
      </c>
      <c r="AI31">
        <v>1</v>
      </c>
      <c r="AJ31">
        <v>1</v>
      </c>
      <c r="AK31">
        <v>1</v>
      </c>
      <c r="AL31">
        <v>37.34</v>
      </c>
      <c r="AN31">
        <v>0</v>
      </c>
      <c r="AO31">
        <v>1</v>
      </c>
      <c r="AP31">
        <v>1</v>
      </c>
      <c r="AQ31">
        <v>0</v>
      </c>
      <c r="AR31">
        <v>0</v>
      </c>
      <c r="AT31">
        <v>24.3</v>
      </c>
      <c r="AU31" t="s">
        <v>118</v>
      </c>
      <c r="AV31">
        <v>1</v>
      </c>
      <c r="AW31">
        <v>2</v>
      </c>
      <c r="AX31">
        <v>55655671</v>
      </c>
      <c r="AY31">
        <v>1</v>
      </c>
      <c r="AZ31">
        <v>0</v>
      </c>
      <c r="BA31">
        <v>35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Y31*Source!I72</f>
        <v>27.10665</v>
      </c>
      <c r="CY31">
        <f>AD31</f>
        <v>322.62</v>
      </c>
      <c r="CZ31">
        <f>AH31</f>
        <v>8.64</v>
      </c>
      <c r="DA31">
        <f>AL31</f>
        <v>37.34</v>
      </c>
      <c r="DB31">
        <f>ROUND((ROUND(AT31*CZ31,2)*ROUND(1.15,7)),2)</f>
        <v>241.44</v>
      </c>
      <c r="DC31">
        <f>ROUND((ROUND(AT31*AG31,2)*ROUND(1.15,7)),2)</f>
        <v>0</v>
      </c>
    </row>
    <row r="32" spans="1:107" ht="12.75">
      <c r="A32">
        <f>ROW(Source!A72)</f>
        <v>72</v>
      </c>
      <c r="B32">
        <v>55655399</v>
      </c>
      <c r="C32">
        <v>55655662</v>
      </c>
      <c r="D32">
        <v>49459566</v>
      </c>
      <c r="E32">
        <v>58</v>
      </c>
      <c r="F32">
        <v>1</v>
      </c>
      <c r="G32">
        <v>1</v>
      </c>
      <c r="H32">
        <v>1</v>
      </c>
      <c r="I32" t="s">
        <v>289</v>
      </c>
      <c r="K32" t="s">
        <v>278</v>
      </c>
      <c r="L32">
        <v>1191</v>
      </c>
      <c r="N32">
        <v>1013</v>
      </c>
      <c r="O32" t="s">
        <v>270</v>
      </c>
      <c r="P32" t="s">
        <v>270</v>
      </c>
      <c r="Q32">
        <v>1</v>
      </c>
      <c r="W32">
        <v>0</v>
      </c>
      <c r="X32">
        <v>-1173606021</v>
      </c>
      <c r="Y32">
        <v>2.425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37.34</v>
      </c>
      <c r="AL32">
        <v>1</v>
      </c>
      <c r="AN32">
        <v>0</v>
      </c>
      <c r="AO32">
        <v>1</v>
      </c>
      <c r="AP32">
        <v>1</v>
      </c>
      <c r="AQ32">
        <v>0</v>
      </c>
      <c r="AR32">
        <v>0</v>
      </c>
      <c r="AT32">
        <v>1.94</v>
      </c>
      <c r="AU32" t="s">
        <v>117</v>
      </c>
      <c r="AV32">
        <v>2</v>
      </c>
      <c r="AW32">
        <v>2</v>
      </c>
      <c r="AX32">
        <v>55655672</v>
      </c>
      <c r="AY32">
        <v>1</v>
      </c>
      <c r="AZ32">
        <v>0</v>
      </c>
      <c r="BA32">
        <v>36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Y32*Source!I72</f>
        <v>2.3522499999999997</v>
      </c>
      <c r="CY32">
        <f>AD32</f>
        <v>0</v>
      </c>
      <c r="CZ32">
        <f>AH32</f>
        <v>0</v>
      </c>
      <c r="DA32">
        <f>AL32</f>
        <v>1</v>
      </c>
      <c r="DB32">
        <f>ROUND((ROUND(AT32*CZ32,2)*ROUND(1.25,7)),2)</f>
        <v>0</v>
      </c>
      <c r="DC32">
        <f>ROUND((ROUND(AT32*AG32,2)*ROUND(1.25,7)),2)</f>
        <v>0</v>
      </c>
    </row>
    <row r="33" spans="1:107" ht="12.75">
      <c r="A33">
        <f>ROW(Source!A72)</f>
        <v>72</v>
      </c>
      <c r="B33">
        <v>55655399</v>
      </c>
      <c r="C33">
        <v>55655662</v>
      </c>
      <c r="D33">
        <v>49620286</v>
      </c>
      <c r="E33">
        <v>1</v>
      </c>
      <c r="F33">
        <v>1</v>
      </c>
      <c r="G33">
        <v>1</v>
      </c>
      <c r="H33">
        <v>2</v>
      </c>
      <c r="I33" t="s">
        <v>290</v>
      </c>
      <c r="J33" t="s">
        <v>291</v>
      </c>
      <c r="K33" t="s">
        <v>292</v>
      </c>
      <c r="L33">
        <v>1368</v>
      </c>
      <c r="N33">
        <v>1011</v>
      </c>
      <c r="O33" t="s">
        <v>274</v>
      </c>
      <c r="P33" t="s">
        <v>274</v>
      </c>
      <c r="Q33">
        <v>1</v>
      </c>
      <c r="W33">
        <v>0</v>
      </c>
      <c r="X33">
        <v>-1554407757</v>
      </c>
      <c r="Y33">
        <v>0.8500000000000001</v>
      </c>
      <c r="AA33">
        <v>0</v>
      </c>
      <c r="AB33">
        <v>1143.94</v>
      </c>
      <c r="AC33">
        <v>504.09</v>
      </c>
      <c r="AD33">
        <v>0</v>
      </c>
      <c r="AE33">
        <v>0</v>
      </c>
      <c r="AF33">
        <v>86.4</v>
      </c>
      <c r="AG33">
        <v>13.5</v>
      </c>
      <c r="AH33">
        <v>0</v>
      </c>
      <c r="AI33">
        <v>1</v>
      </c>
      <c r="AJ33">
        <v>13.24</v>
      </c>
      <c r="AK33">
        <v>37.34</v>
      </c>
      <c r="AL33">
        <v>1</v>
      </c>
      <c r="AN33">
        <v>0</v>
      </c>
      <c r="AO33">
        <v>1</v>
      </c>
      <c r="AP33">
        <v>1</v>
      </c>
      <c r="AQ33">
        <v>0</v>
      </c>
      <c r="AR33">
        <v>0</v>
      </c>
      <c r="AT33">
        <v>0.68</v>
      </c>
      <c r="AU33" t="s">
        <v>117</v>
      </c>
      <c r="AV33">
        <v>0</v>
      </c>
      <c r="AW33">
        <v>2</v>
      </c>
      <c r="AX33">
        <v>55655673</v>
      </c>
      <c r="AY33">
        <v>1</v>
      </c>
      <c r="AZ33">
        <v>0</v>
      </c>
      <c r="BA33">
        <v>37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Y33*Source!I72</f>
        <v>0.8245</v>
      </c>
      <c r="CY33">
        <f>AB33</f>
        <v>1143.94</v>
      </c>
      <c r="CZ33">
        <f>AF33</f>
        <v>86.4</v>
      </c>
      <c r="DA33">
        <f>AJ33</f>
        <v>13.24</v>
      </c>
      <c r="DB33">
        <f>ROUND((ROUND(AT33*CZ33,2)*ROUND(1.25,7)),2)</f>
        <v>73.44</v>
      </c>
      <c r="DC33">
        <f>ROUND((ROUND(AT33*AG33,2)*ROUND(1.25,7)),2)</f>
        <v>11.48</v>
      </c>
    </row>
    <row r="34" spans="1:107" ht="12.75">
      <c r="A34">
        <f>ROW(Source!A72)</f>
        <v>72</v>
      </c>
      <c r="B34">
        <v>55655399</v>
      </c>
      <c r="C34">
        <v>55655662</v>
      </c>
      <c r="D34">
        <v>49620499</v>
      </c>
      <c r="E34">
        <v>1</v>
      </c>
      <c r="F34">
        <v>1</v>
      </c>
      <c r="G34">
        <v>1</v>
      </c>
      <c r="H34">
        <v>2</v>
      </c>
      <c r="I34" t="s">
        <v>293</v>
      </c>
      <c r="J34" t="s">
        <v>294</v>
      </c>
      <c r="K34" t="s">
        <v>295</v>
      </c>
      <c r="L34">
        <v>1368</v>
      </c>
      <c r="N34">
        <v>1011</v>
      </c>
      <c r="O34" t="s">
        <v>274</v>
      </c>
      <c r="P34" t="s">
        <v>274</v>
      </c>
      <c r="Q34">
        <v>1</v>
      </c>
      <c r="W34">
        <v>0</v>
      </c>
      <c r="X34">
        <v>-1845589996</v>
      </c>
      <c r="Y34">
        <v>1.575</v>
      </c>
      <c r="AA34">
        <v>0</v>
      </c>
      <c r="AB34">
        <v>1191.47</v>
      </c>
      <c r="AC34">
        <v>375.64</v>
      </c>
      <c r="AD34">
        <v>0</v>
      </c>
      <c r="AE34">
        <v>0</v>
      </c>
      <c r="AF34">
        <v>89.99</v>
      </c>
      <c r="AG34">
        <v>10.06</v>
      </c>
      <c r="AH34">
        <v>0</v>
      </c>
      <c r="AI34">
        <v>1</v>
      </c>
      <c r="AJ34">
        <v>13.24</v>
      </c>
      <c r="AK34">
        <v>37.34</v>
      </c>
      <c r="AL34">
        <v>1</v>
      </c>
      <c r="AN34">
        <v>0</v>
      </c>
      <c r="AO34">
        <v>1</v>
      </c>
      <c r="AP34">
        <v>1</v>
      </c>
      <c r="AQ34">
        <v>0</v>
      </c>
      <c r="AR34">
        <v>0</v>
      </c>
      <c r="AT34">
        <v>1.26</v>
      </c>
      <c r="AU34" t="s">
        <v>117</v>
      </c>
      <c r="AV34">
        <v>0</v>
      </c>
      <c r="AW34">
        <v>2</v>
      </c>
      <c r="AX34">
        <v>55655674</v>
      </c>
      <c r="AY34">
        <v>1</v>
      </c>
      <c r="AZ34">
        <v>0</v>
      </c>
      <c r="BA34">
        <v>38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Y34*Source!I72</f>
        <v>1.52775</v>
      </c>
      <c r="CY34">
        <f>AB34</f>
        <v>1191.47</v>
      </c>
      <c r="CZ34">
        <f>AF34</f>
        <v>89.99</v>
      </c>
      <c r="DA34">
        <f>AJ34</f>
        <v>13.24</v>
      </c>
      <c r="DB34">
        <f>ROUND((ROUND(AT34*CZ34,2)*ROUND(1.25,7)),2)</f>
        <v>141.74</v>
      </c>
      <c r="DC34">
        <f>ROUND((ROUND(AT34*AG34,2)*ROUND(1.25,7)),2)</f>
        <v>15.85</v>
      </c>
    </row>
    <row r="35" spans="1:107" ht="12.75">
      <c r="A35">
        <f>ROW(Source!A72)</f>
        <v>72</v>
      </c>
      <c r="B35">
        <v>55655399</v>
      </c>
      <c r="C35">
        <v>55655662</v>
      </c>
      <c r="D35">
        <v>49620642</v>
      </c>
      <c r="E35">
        <v>1</v>
      </c>
      <c r="F35">
        <v>1</v>
      </c>
      <c r="G35">
        <v>1</v>
      </c>
      <c r="H35">
        <v>2</v>
      </c>
      <c r="I35" t="s">
        <v>296</v>
      </c>
      <c r="J35" t="s">
        <v>297</v>
      </c>
      <c r="K35" t="s">
        <v>298</v>
      </c>
      <c r="L35">
        <v>1368</v>
      </c>
      <c r="N35">
        <v>1011</v>
      </c>
      <c r="O35" t="s">
        <v>274</v>
      </c>
      <c r="P35" t="s">
        <v>274</v>
      </c>
      <c r="Q35">
        <v>1</v>
      </c>
      <c r="W35">
        <v>0</v>
      </c>
      <c r="X35">
        <v>1974224678</v>
      </c>
      <c r="Y35">
        <v>2.8625</v>
      </c>
      <c r="AA35">
        <v>0</v>
      </c>
      <c r="AB35">
        <v>102.87</v>
      </c>
      <c r="AC35">
        <v>0</v>
      </c>
      <c r="AD35">
        <v>0</v>
      </c>
      <c r="AE35">
        <v>0</v>
      </c>
      <c r="AF35">
        <v>7.77</v>
      </c>
      <c r="AG35">
        <v>0</v>
      </c>
      <c r="AH35">
        <v>0</v>
      </c>
      <c r="AI35">
        <v>1</v>
      </c>
      <c r="AJ35">
        <v>13.24</v>
      </c>
      <c r="AK35">
        <v>37.34</v>
      </c>
      <c r="AL35">
        <v>1</v>
      </c>
      <c r="AN35">
        <v>0</v>
      </c>
      <c r="AO35">
        <v>1</v>
      </c>
      <c r="AP35">
        <v>1</v>
      </c>
      <c r="AQ35">
        <v>0</v>
      </c>
      <c r="AR35">
        <v>0</v>
      </c>
      <c r="AT35">
        <v>2.29</v>
      </c>
      <c r="AU35" t="s">
        <v>117</v>
      </c>
      <c r="AV35">
        <v>0</v>
      </c>
      <c r="AW35">
        <v>2</v>
      </c>
      <c r="AX35">
        <v>55655675</v>
      </c>
      <c r="AY35">
        <v>1</v>
      </c>
      <c r="AZ35">
        <v>0</v>
      </c>
      <c r="BA35">
        <v>39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Y35*Source!I72</f>
        <v>2.7766249999999997</v>
      </c>
      <c r="CY35">
        <f>AB35</f>
        <v>102.87</v>
      </c>
      <c r="CZ35">
        <f>AF35</f>
        <v>7.77</v>
      </c>
      <c r="DA35">
        <f>AJ35</f>
        <v>13.24</v>
      </c>
      <c r="DB35">
        <f>ROUND((ROUND(AT35*CZ35,2)*ROUND(1.25,7)),2)</f>
        <v>22.24</v>
      </c>
      <c r="DC35">
        <f>ROUND((ROUND(AT35*AG35,2)*ROUND(1.25,7)),2)</f>
        <v>0</v>
      </c>
    </row>
    <row r="36" spans="1:107" ht="12.75">
      <c r="A36">
        <f>ROW(Source!A72)</f>
        <v>72</v>
      </c>
      <c r="B36">
        <v>55655399</v>
      </c>
      <c r="C36">
        <v>55655662</v>
      </c>
      <c r="D36">
        <v>49471536</v>
      </c>
      <c r="E36">
        <v>1</v>
      </c>
      <c r="F36">
        <v>1</v>
      </c>
      <c r="G36">
        <v>1</v>
      </c>
      <c r="H36">
        <v>3</v>
      </c>
      <c r="I36" t="s">
        <v>48</v>
      </c>
      <c r="J36" t="s">
        <v>51</v>
      </c>
      <c r="K36" t="s">
        <v>49</v>
      </c>
      <c r="L36">
        <v>1339</v>
      </c>
      <c r="N36">
        <v>1007</v>
      </c>
      <c r="O36" t="s">
        <v>50</v>
      </c>
      <c r="P36" t="s">
        <v>50</v>
      </c>
      <c r="Q36">
        <v>1</v>
      </c>
      <c r="W36">
        <v>0</v>
      </c>
      <c r="X36">
        <v>-1033255509</v>
      </c>
      <c r="Y36">
        <v>3.85</v>
      </c>
      <c r="AA36">
        <v>16.4</v>
      </c>
      <c r="AB36">
        <v>0</v>
      </c>
      <c r="AC36">
        <v>0</v>
      </c>
      <c r="AD36">
        <v>0</v>
      </c>
      <c r="AE36">
        <v>2.44</v>
      </c>
      <c r="AF36">
        <v>0</v>
      </c>
      <c r="AG36">
        <v>0</v>
      </c>
      <c r="AH36">
        <v>0</v>
      </c>
      <c r="AI36">
        <v>6.72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3.85</v>
      </c>
      <c r="AV36">
        <v>0</v>
      </c>
      <c r="AW36">
        <v>2</v>
      </c>
      <c r="AX36">
        <v>55655676</v>
      </c>
      <c r="AY36">
        <v>1</v>
      </c>
      <c r="AZ36">
        <v>0</v>
      </c>
      <c r="BA36">
        <v>40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Y36*Source!I72</f>
        <v>3.7345</v>
      </c>
      <c r="CY36">
        <f>AA36</f>
        <v>16.4</v>
      </c>
      <c r="CZ36">
        <f>AE36</f>
        <v>2.44</v>
      </c>
      <c r="DA36">
        <f>AI36</f>
        <v>6.72</v>
      </c>
      <c r="DB36">
        <f>ROUND(ROUND(AT36*CZ36,2),2)</f>
        <v>9.39</v>
      </c>
      <c r="DC36">
        <f>ROUND(ROUND(AT36*AG36,2),2)</f>
        <v>0</v>
      </c>
    </row>
    <row r="37" spans="1:107" ht="12.75">
      <c r="A37">
        <f>ROW(Source!A72)</f>
        <v>72</v>
      </c>
      <c r="B37">
        <v>55655399</v>
      </c>
      <c r="C37">
        <v>55655662</v>
      </c>
      <c r="D37">
        <v>53648308</v>
      </c>
      <c r="E37">
        <v>1</v>
      </c>
      <c r="F37">
        <v>1</v>
      </c>
      <c r="G37">
        <v>1</v>
      </c>
      <c r="H37">
        <v>3</v>
      </c>
      <c r="I37" t="s">
        <v>127</v>
      </c>
      <c r="J37" t="s">
        <v>130</v>
      </c>
      <c r="K37" t="s">
        <v>128</v>
      </c>
      <c r="L37">
        <v>1348</v>
      </c>
      <c r="N37">
        <v>1009</v>
      </c>
      <c r="O37" t="s">
        <v>129</v>
      </c>
      <c r="P37" t="s">
        <v>129</v>
      </c>
      <c r="Q37">
        <v>1000</v>
      </c>
      <c r="W37">
        <v>0</v>
      </c>
      <c r="X37">
        <v>-1961211957</v>
      </c>
      <c r="Y37">
        <v>2.707966</v>
      </c>
      <c r="AA37">
        <v>8353.3</v>
      </c>
      <c r="AB37">
        <v>0</v>
      </c>
      <c r="AC37">
        <v>0</v>
      </c>
      <c r="AD37">
        <v>0</v>
      </c>
      <c r="AE37">
        <v>1243.05</v>
      </c>
      <c r="AF37">
        <v>0</v>
      </c>
      <c r="AG37">
        <v>0</v>
      </c>
      <c r="AH37">
        <v>0</v>
      </c>
      <c r="AI37">
        <v>6.72</v>
      </c>
      <c r="AJ37">
        <v>1</v>
      </c>
      <c r="AK37">
        <v>1</v>
      </c>
      <c r="AL37">
        <v>1</v>
      </c>
      <c r="AN37">
        <v>0</v>
      </c>
      <c r="AO37">
        <v>0</v>
      </c>
      <c r="AP37">
        <v>0</v>
      </c>
      <c r="AQ37">
        <v>0</v>
      </c>
      <c r="AR37">
        <v>0</v>
      </c>
      <c r="AT37">
        <v>2.707966</v>
      </c>
      <c r="AV37">
        <v>0</v>
      </c>
      <c r="AW37">
        <v>1</v>
      </c>
      <c r="AX37">
        <v>-1</v>
      </c>
      <c r="AY37">
        <v>0</v>
      </c>
      <c r="AZ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Y37*Source!I72</f>
        <v>2.6267270199999997</v>
      </c>
      <c r="CY37">
        <f>AA37</f>
        <v>8353.3</v>
      </c>
      <c r="CZ37">
        <f>AE37</f>
        <v>1243.05</v>
      </c>
      <c r="DA37">
        <f>AI37</f>
        <v>6.72</v>
      </c>
      <c r="DB37">
        <f>ROUND(ROUND(AT37*CZ37,2),2)</f>
        <v>3366.14</v>
      </c>
      <c r="DC37">
        <f>ROUND(ROUND(AT37*AG37,2),2)</f>
        <v>0</v>
      </c>
    </row>
    <row r="38" spans="1:107" ht="12.75">
      <c r="A38">
        <f>ROW(Source!A72)</f>
        <v>72</v>
      </c>
      <c r="B38">
        <v>55655399</v>
      </c>
      <c r="C38">
        <v>55655662</v>
      </c>
      <c r="D38">
        <v>49497472</v>
      </c>
      <c r="E38">
        <v>1</v>
      </c>
      <c r="F38">
        <v>1</v>
      </c>
      <c r="G38">
        <v>1</v>
      </c>
      <c r="H38">
        <v>3</v>
      </c>
      <c r="I38" t="s">
        <v>299</v>
      </c>
      <c r="J38" t="s">
        <v>300</v>
      </c>
      <c r="K38" t="s">
        <v>301</v>
      </c>
      <c r="L38">
        <v>1327</v>
      </c>
      <c r="N38">
        <v>1005</v>
      </c>
      <c r="O38" t="s">
        <v>154</v>
      </c>
      <c r="P38" t="s">
        <v>154</v>
      </c>
      <c r="Q38">
        <v>1</v>
      </c>
      <c r="W38">
        <v>0</v>
      </c>
      <c r="X38">
        <v>1228981401</v>
      </c>
      <c r="Y38">
        <v>4.4</v>
      </c>
      <c r="AA38">
        <v>41.66</v>
      </c>
      <c r="AB38">
        <v>0</v>
      </c>
      <c r="AC38">
        <v>0</v>
      </c>
      <c r="AD38">
        <v>0</v>
      </c>
      <c r="AE38">
        <v>6.2</v>
      </c>
      <c r="AF38">
        <v>0</v>
      </c>
      <c r="AG38">
        <v>0</v>
      </c>
      <c r="AH38">
        <v>0</v>
      </c>
      <c r="AI38">
        <v>6.72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T38">
        <v>4.4</v>
      </c>
      <c r="AV38">
        <v>0</v>
      </c>
      <c r="AW38">
        <v>2</v>
      </c>
      <c r="AX38">
        <v>55655678</v>
      </c>
      <c r="AY38">
        <v>1</v>
      </c>
      <c r="AZ38">
        <v>0</v>
      </c>
      <c r="BA38">
        <v>42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Y38*Source!I72</f>
        <v>4.268</v>
      </c>
      <c r="CY38">
        <f>AA38</f>
        <v>41.66</v>
      </c>
      <c r="CZ38">
        <f>AE38</f>
        <v>6.2</v>
      </c>
      <c r="DA38">
        <f>AI38</f>
        <v>6.72</v>
      </c>
      <c r="DB38">
        <f>ROUND(ROUND(AT38*CZ38,2),2)</f>
        <v>27.28</v>
      </c>
      <c r="DC38">
        <f>ROUND(ROUND(AT38*AG38,2),2)</f>
        <v>0</v>
      </c>
    </row>
    <row r="39" spans="1:107" ht="12.75">
      <c r="A39">
        <f>ROW(Source!A75)</f>
        <v>75</v>
      </c>
      <c r="B39">
        <v>55655398</v>
      </c>
      <c r="C39">
        <v>55655680</v>
      </c>
      <c r="D39">
        <v>49459389</v>
      </c>
      <c r="E39">
        <v>58</v>
      </c>
      <c r="F39">
        <v>1</v>
      </c>
      <c r="G39">
        <v>1</v>
      </c>
      <c r="H39">
        <v>1</v>
      </c>
      <c r="I39" t="s">
        <v>287</v>
      </c>
      <c r="K39" t="s">
        <v>288</v>
      </c>
      <c r="L39">
        <v>1191</v>
      </c>
      <c r="N39">
        <v>1013</v>
      </c>
      <c r="O39" t="s">
        <v>270</v>
      </c>
      <c r="P39" t="s">
        <v>270</v>
      </c>
      <c r="Q39">
        <v>1</v>
      </c>
      <c r="W39">
        <v>0</v>
      </c>
      <c r="X39">
        <v>1010519658</v>
      </c>
      <c r="Y39">
        <v>17.25</v>
      </c>
      <c r="AA39">
        <v>0</v>
      </c>
      <c r="AB39">
        <v>0</v>
      </c>
      <c r="AC39">
        <v>0</v>
      </c>
      <c r="AD39">
        <v>8.64</v>
      </c>
      <c r="AE39">
        <v>0</v>
      </c>
      <c r="AF39">
        <v>0</v>
      </c>
      <c r="AG39">
        <v>0</v>
      </c>
      <c r="AH39">
        <v>8.64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1</v>
      </c>
      <c r="AQ39">
        <v>0</v>
      </c>
      <c r="AR39">
        <v>0</v>
      </c>
      <c r="AT39">
        <v>1</v>
      </c>
      <c r="AU39" t="s">
        <v>137</v>
      </c>
      <c r="AV39">
        <v>1</v>
      </c>
      <c r="AW39">
        <v>2</v>
      </c>
      <c r="AX39">
        <v>55655686</v>
      </c>
      <c r="AY39">
        <v>1</v>
      </c>
      <c r="AZ39">
        <v>0</v>
      </c>
      <c r="BA39">
        <v>43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Y39*Source!I75</f>
        <v>16.732499999999998</v>
      </c>
      <c r="CY39">
        <f>AD39</f>
        <v>8.64</v>
      </c>
      <c r="CZ39">
        <f>AH39</f>
        <v>8.64</v>
      </c>
      <c r="DA39">
        <f>AL39</f>
        <v>1</v>
      </c>
      <c r="DB39">
        <f>ROUND((ROUND(AT39*CZ39,2)*ROUND((1.15*15),7)),2)</f>
        <v>149.04</v>
      </c>
      <c r="DC39">
        <f>ROUND((ROUND(AT39*AG39,2)*ROUND((1.15*15),7)),2)</f>
        <v>0</v>
      </c>
    </row>
    <row r="40" spans="1:107" ht="12.75">
      <c r="A40">
        <f>ROW(Source!A75)</f>
        <v>75</v>
      </c>
      <c r="B40">
        <v>55655398</v>
      </c>
      <c r="C40">
        <v>55655680</v>
      </c>
      <c r="D40">
        <v>49459566</v>
      </c>
      <c r="E40">
        <v>58</v>
      </c>
      <c r="F40">
        <v>1</v>
      </c>
      <c r="G40">
        <v>1</v>
      </c>
      <c r="H40">
        <v>1</v>
      </c>
      <c r="I40" t="s">
        <v>289</v>
      </c>
      <c r="K40" t="s">
        <v>278</v>
      </c>
      <c r="L40">
        <v>1191</v>
      </c>
      <c r="N40">
        <v>1013</v>
      </c>
      <c r="O40" t="s">
        <v>270</v>
      </c>
      <c r="P40" t="s">
        <v>270</v>
      </c>
      <c r="Q40">
        <v>1</v>
      </c>
      <c r="W40">
        <v>0</v>
      </c>
      <c r="X40">
        <v>-1173606021</v>
      </c>
      <c r="Y40">
        <v>0.5625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1</v>
      </c>
      <c r="AQ40">
        <v>0</v>
      </c>
      <c r="AR40">
        <v>0</v>
      </c>
      <c r="AT40">
        <v>0.03</v>
      </c>
      <c r="AU40" t="s">
        <v>136</v>
      </c>
      <c r="AV40">
        <v>2</v>
      </c>
      <c r="AW40">
        <v>2</v>
      </c>
      <c r="AX40">
        <v>55655687</v>
      </c>
      <c r="AY40">
        <v>1</v>
      </c>
      <c r="AZ40">
        <v>0</v>
      </c>
      <c r="BA40">
        <v>44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Y40*Source!I75</f>
        <v>0.545625</v>
      </c>
      <c r="CY40">
        <f>AD40</f>
        <v>0</v>
      </c>
      <c r="CZ40">
        <f>AH40</f>
        <v>0</v>
      </c>
      <c r="DA40">
        <f>AL40</f>
        <v>1</v>
      </c>
      <c r="DB40">
        <f>ROUND((ROUND(AT40*CZ40,2)*ROUND((1.25*15),7)),2)</f>
        <v>0</v>
      </c>
      <c r="DC40">
        <f>ROUND((ROUND(AT40*AG40,2)*ROUND((1.25*15),7)),2)</f>
        <v>0</v>
      </c>
    </row>
    <row r="41" spans="1:107" ht="12.75">
      <c r="A41">
        <f>ROW(Source!A75)</f>
        <v>75</v>
      </c>
      <c r="B41">
        <v>55655398</v>
      </c>
      <c r="C41">
        <v>55655680</v>
      </c>
      <c r="D41">
        <v>49620286</v>
      </c>
      <c r="E41">
        <v>1</v>
      </c>
      <c r="F41">
        <v>1</v>
      </c>
      <c r="G41">
        <v>1</v>
      </c>
      <c r="H41">
        <v>2</v>
      </c>
      <c r="I41" t="s">
        <v>290</v>
      </c>
      <c r="J41" t="s">
        <v>291</v>
      </c>
      <c r="K41" t="s">
        <v>292</v>
      </c>
      <c r="L41">
        <v>1368</v>
      </c>
      <c r="N41">
        <v>1011</v>
      </c>
      <c r="O41" t="s">
        <v>274</v>
      </c>
      <c r="P41" t="s">
        <v>274</v>
      </c>
      <c r="Q41">
        <v>1</v>
      </c>
      <c r="W41">
        <v>0</v>
      </c>
      <c r="X41">
        <v>-1554407757</v>
      </c>
      <c r="Y41">
        <v>0.1875</v>
      </c>
      <c r="AA41">
        <v>0</v>
      </c>
      <c r="AB41">
        <v>86.4</v>
      </c>
      <c r="AC41">
        <v>13.5</v>
      </c>
      <c r="AD41">
        <v>0</v>
      </c>
      <c r="AE41">
        <v>0</v>
      </c>
      <c r="AF41">
        <v>86.4</v>
      </c>
      <c r="AG41">
        <v>13.5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1</v>
      </c>
      <c r="AQ41">
        <v>0</v>
      </c>
      <c r="AR41">
        <v>0</v>
      </c>
      <c r="AT41">
        <v>0.01</v>
      </c>
      <c r="AU41" t="s">
        <v>136</v>
      </c>
      <c r="AV41">
        <v>0</v>
      </c>
      <c r="AW41">
        <v>2</v>
      </c>
      <c r="AX41">
        <v>55655688</v>
      </c>
      <c r="AY41">
        <v>1</v>
      </c>
      <c r="AZ41">
        <v>0</v>
      </c>
      <c r="BA41">
        <v>45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Y41*Source!I75</f>
        <v>0.181875</v>
      </c>
      <c r="CY41">
        <f>AB41</f>
        <v>86.4</v>
      </c>
      <c r="CZ41">
        <f>AF41</f>
        <v>86.4</v>
      </c>
      <c r="DA41">
        <f>AJ41</f>
        <v>1</v>
      </c>
      <c r="DB41">
        <f>ROUND((ROUND(AT41*CZ41,2)*ROUND((1.25*15),7)),2)</f>
        <v>16.13</v>
      </c>
      <c r="DC41">
        <f>ROUND((ROUND(AT41*AG41,2)*ROUND((1.25*15),7)),2)</f>
        <v>2.63</v>
      </c>
    </row>
    <row r="42" spans="1:107" ht="12.75">
      <c r="A42">
        <f>ROW(Source!A75)</f>
        <v>75</v>
      </c>
      <c r="B42">
        <v>55655398</v>
      </c>
      <c r="C42">
        <v>55655680</v>
      </c>
      <c r="D42">
        <v>49620499</v>
      </c>
      <c r="E42">
        <v>1</v>
      </c>
      <c r="F42">
        <v>1</v>
      </c>
      <c r="G42">
        <v>1</v>
      </c>
      <c r="H42">
        <v>2</v>
      </c>
      <c r="I42" t="s">
        <v>293</v>
      </c>
      <c r="J42" t="s">
        <v>294</v>
      </c>
      <c r="K42" t="s">
        <v>295</v>
      </c>
      <c r="L42">
        <v>1368</v>
      </c>
      <c r="N42">
        <v>1011</v>
      </c>
      <c r="O42" t="s">
        <v>274</v>
      </c>
      <c r="P42" t="s">
        <v>274</v>
      </c>
      <c r="Q42">
        <v>1</v>
      </c>
      <c r="W42">
        <v>0</v>
      </c>
      <c r="X42">
        <v>-1845589996</v>
      </c>
      <c r="Y42">
        <v>0.375</v>
      </c>
      <c r="AA42">
        <v>0</v>
      </c>
      <c r="AB42">
        <v>89.99</v>
      </c>
      <c r="AC42">
        <v>10.06</v>
      </c>
      <c r="AD42">
        <v>0</v>
      </c>
      <c r="AE42">
        <v>0</v>
      </c>
      <c r="AF42">
        <v>89.99</v>
      </c>
      <c r="AG42">
        <v>10.06</v>
      </c>
      <c r="AH42">
        <v>0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1</v>
      </c>
      <c r="AP42">
        <v>1</v>
      </c>
      <c r="AQ42">
        <v>0</v>
      </c>
      <c r="AR42">
        <v>0</v>
      </c>
      <c r="AT42">
        <v>0.02</v>
      </c>
      <c r="AU42" t="s">
        <v>136</v>
      </c>
      <c r="AV42">
        <v>0</v>
      </c>
      <c r="AW42">
        <v>2</v>
      </c>
      <c r="AX42">
        <v>55655689</v>
      </c>
      <c r="AY42">
        <v>1</v>
      </c>
      <c r="AZ42">
        <v>0</v>
      </c>
      <c r="BA42">
        <v>46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Y42*Source!I75</f>
        <v>0.36375</v>
      </c>
      <c r="CY42">
        <f>AB42</f>
        <v>89.99</v>
      </c>
      <c r="CZ42">
        <f>AF42</f>
        <v>89.99</v>
      </c>
      <c r="DA42">
        <f>AJ42</f>
        <v>1</v>
      </c>
      <c r="DB42">
        <f>ROUND((ROUND(AT42*CZ42,2)*ROUND((1.25*15),7)),2)</f>
        <v>33.75</v>
      </c>
      <c r="DC42">
        <f>ROUND((ROUND(AT42*AG42,2)*ROUND((1.25*15),7)),2)</f>
        <v>3.75</v>
      </c>
    </row>
    <row r="43" spans="1:107" ht="12.75">
      <c r="A43">
        <f>ROW(Source!A75)</f>
        <v>75</v>
      </c>
      <c r="B43">
        <v>55655398</v>
      </c>
      <c r="C43">
        <v>55655680</v>
      </c>
      <c r="D43">
        <v>53648308</v>
      </c>
      <c r="E43">
        <v>1</v>
      </c>
      <c r="F43">
        <v>1</v>
      </c>
      <c r="G43">
        <v>1</v>
      </c>
      <c r="H43">
        <v>3</v>
      </c>
      <c r="I43" t="s">
        <v>127</v>
      </c>
      <c r="J43" t="s">
        <v>130</v>
      </c>
      <c r="K43" t="s">
        <v>128</v>
      </c>
      <c r="L43">
        <v>1348</v>
      </c>
      <c r="N43">
        <v>1009</v>
      </c>
      <c r="O43" t="s">
        <v>129</v>
      </c>
      <c r="P43" t="s">
        <v>129</v>
      </c>
      <c r="Q43">
        <v>1000</v>
      </c>
      <c r="W43">
        <v>0</v>
      </c>
      <c r="X43">
        <v>-1961211957</v>
      </c>
      <c r="Y43">
        <v>2.707695</v>
      </c>
      <c r="AA43">
        <v>1243.05</v>
      </c>
      <c r="AB43">
        <v>0</v>
      </c>
      <c r="AC43">
        <v>0</v>
      </c>
      <c r="AD43">
        <v>0</v>
      </c>
      <c r="AE43">
        <v>1243.05</v>
      </c>
      <c r="AF43">
        <v>0</v>
      </c>
      <c r="AG43">
        <v>0</v>
      </c>
      <c r="AH43">
        <v>0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0</v>
      </c>
      <c r="AP43">
        <v>1</v>
      </c>
      <c r="AQ43">
        <v>0</v>
      </c>
      <c r="AR43">
        <v>0</v>
      </c>
      <c r="AT43">
        <v>2.707695</v>
      </c>
      <c r="AV43">
        <v>0</v>
      </c>
      <c r="AW43">
        <v>1</v>
      </c>
      <c r="AX43">
        <v>-1</v>
      </c>
      <c r="AY43">
        <v>0</v>
      </c>
      <c r="AZ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Y43*Source!I75</f>
        <v>2.62646415</v>
      </c>
      <c r="CY43">
        <f>AA43</f>
        <v>1243.05</v>
      </c>
      <c r="CZ43">
        <f>AE43</f>
        <v>1243.05</v>
      </c>
      <c r="DA43">
        <f>AI43</f>
        <v>1</v>
      </c>
      <c r="DB43">
        <f>ROUND(ROUND(AT43*CZ43,2),2)</f>
        <v>3365.8</v>
      </c>
      <c r="DC43">
        <f>ROUND(ROUND(AT43*AG43,2),2)</f>
        <v>0</v>
      </c>
    </row>
    <row r="44" spans="1:107" ht="12.75">
      <c r="A44">
        <f>ROW(Source!A76)</f>
        <v>76</v>
      </c>
      <c r="B44">
        <v>55655399</v>
      </c>
      <c r="C44">
        <v>55655680</v>
      </c>
      <c r="D44">
        <v>49459389</v>
      </c>
      <c r="E44">
        <v>58</v>
      </c>
      <c r="F44">
        <v>1</v>
      </c>
      <c r="G44">
        <v>1</v>
      </c>
      <c r="H44">
        <v>1</v>
      </c>
      <c r="I44" t="s">
        <v>287</v>
      </c>
      <c r="K44" t="s">
        <v>288</v>
      </c>
      <c r="L44">
        <v>1191</v>
      </c>
      <c r="N44">
        <v>1013</v>
      </c>
      <c r="O44" t="s">
        <v>270</v>
      </c>
      <c r="P44" t="s">
        <v>270</v>
      </c>
      <c r="Q44">
        <v>1</v>
      </c>
      <c r="W44">
        <v>0</v>
      </c>
      <c r="X44">
        <v>1010519658</v>
      </c>
      <c r="Y44">
        <v>17.25</v>
      </c>
      <c r="AA44">
        <v>0</v>
      </c>
      <c r="AB44">
        <v>0</v>
      </c>
      <c r="AC44">
        <v>0</v>
      </c>
      <c r="AD44">
        <v>322.62</v>
      </c>
      <c r="AE44">
        <v>0</v>
      </c>
      <c r="AF44">
        <v>0</v>
      </c>
      <c r="AG44">
        <v>0</v>
      </c>
      <c r="AH44">
        <v>8.64</v>
      </c>
      <c r="AI44">
        <v>1</v>
      </c>
      <c r="AJ44">
        <v>1</v>
      </c>
      <c r="AK44">
        <v>1</v>
      </c>
      <c r="AL44">
        <v>37.34</v>
      </c>
      <c r="AN44">
        <v>0</v>
      </c>
      <c r="AO44">
        <v>1</v>
      </c>
      <c r="AP44">
        <v>1</v>
      </c>
      <c r="AQ44">
        <v>0</v>
      </c>
      <c r="AR44">
        <v>0</v>
      </c>
      <c r="AT44">
        <v>1</v>
      </c>
      <c r="AU44" t="s">
        <v>137</v>
      </c>
      <c r="AV44">
        <v>1</v>
      </c>
      <c r="AW44">
        <v>2</v>
      </c>
      <c r="AX44">
        <v>55655686</v>
      </c>
      <c r="AY44">
        <v>1</v>
      </c>
      <c r="AZ44">
        <v>0</v>
      </c>
      <c r="BA44">
        <v>48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Y44*Source!I76</f>
        <v>16.732499999999998</v>
      </c>
      <c r="CY44">
        <f>AD44</f>
        <v>322.62</v>
      </c>
      <c r="CZ44">
        <f>AH44</f>
        <v>8.64</v>
      </c>
      <c r="DA44">
        <f>AL44</f>
        <v>37.34</v>
      </c>
      <c r="DB44">
        <f>ROUND((ROUND(AT44*CZ44,2)*ROUND((1.15*15),7)),2)</f>
        <v>149.04</v>
      </c>
      <c r="DC44">
        <f>ROUND((ROUND(AT44*AG44,2)*ROUND((1.15*15),7)),2)</f>
        <v>0</v>
      </c>
    </row>
    <row r="45" spans="1:107" ht="12.75">
      <c r="A45">
        <f>ROW(Source!A76)</f>
        <v>76</v>
      </c>
      <c r="B45">
        <v>55655399</v>
      </c>
      <c r="C45">
        <v>55655680</v>
      </c>
      <c r="D45">
        <v>49459566</v>
      </c>
      <c r="E45">
        <v>58</v>
      </c>
      <c r="F45">
        <v>1</v>
      </c>
      <c r="G45">
        <v>1</v>
      </c>
      <c r="H45">
        <v>1</v>
      </c>
      <c r="I45" t="s">
        <v>289</v>
      </c>
      <c r="K45" t="s">
        <v>278</v>
      </c>
      <c r="L45">
        <v>1191</v>
      </c>
      <c r="N45">
        <v>1013</v>
      </c>
      <c r="O45" t="s">
        <v>270</v>
      </c>
      <c r="P45" t="s">
        <v>270</v>
      </c>
      <c r="Q45">
        <v>1</v>
      </c>
      <c r="W45">
        <v>0</v>
      </c>
      <c r="X45">
        <v>-1173606021</v>
      </c>
      <c r="Y45">
        <v>0.5625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1</v>
      </c>
      <c r="AJ45">
        <v>1</v>
      </c>
      <c r="AK45">
        <v>37.34</v>
      </c>
      <c r="AL45">
        <v>1</v>
      </c>
      <c r="AN45">
        <v>0</v>
      </c>
      <c r="AO45">
        <v>1</v>
      </c>
      <c r="AP45">
        <v>1</v>
      </c>
      <c r="AQ45">
        <v>0</v>
      </c>
      <c r="AR45">
        <v>0</v>
      </c>
      <c r="AT45">
        <v>0.03</v>
      </c>
      <c r="AU45" t="s">
        <v>136</v>
      </c>
      <c r="AV45">
        <v>2</v>
      </c>
      <c r="AW45">
        <v>2</v>
      </c>
      <c r="AX45">
        <v>55655687</v>
      </c>
      <c r="AY45">
        <v>1</v>
      </c>
      <c r="AZ45">
        <v>0</v>
      </c>
      <c r="BA45">
        <v>49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Y45*Source!I76</f>
        <v>0.545625</v>
      </c>
      <c r="CY45">
        <f>AD45</f>
        <v>0</v>
      </c>
      <c r="CZ45">
        <f>AH45</f>
        <v>0</v>
      </c>
      <c r="DA45">
        <f>AL45</f>
        <v>1</v>
      </c>
      <c r="DB45">
        <f>ROUND((ROUND(AT45*CZ45,2)*ROUND((1.25*15),7)),2)</f>
        <v>0</v>
      </c>
      <c r="DC45">
        <f>ROUND((ROUND(AT45*AG45,2)*ROUND((1.25*15),7)),2)</f>
        <v>0</v>
      </c>
    </row>
    <row r="46" spans="1:107" ht="12.75">
      <c r="A46">
        <f>ROW(Source!A76)</f>
        <v>76</v>
      </c>
      <c r="B46">
        <v>55655399</v>
      </c>
      <c r="C46">
        <v>55655680</v>
      </c>
      <c r="D46">
        <v>49620286</v>
      </c>
      <c r="E46">
        <v>1</v>
      </c>
      <c r="F46">
        <v>1</v>
      </c>
      <c r="G46">
        <v>1</v>
      </c>
      <c r="H46">
        <v>2</v>
      </c>
      <c r="I46" t="s">
        <v>290</v>
      </c>
      <c r="J46" t="s">
        <v>291</v>
      </c>
      <c r="K46" t="s">
        <v>292</v>
      </c>
      <c r="L46">
        <v>1368</v>
      </c>
      <c r="N46">
        <v>1011</v>
      </c>
      <c r="O46" t="s">
        <v>274</v>
      </c>
      <c r="P46" t="s">
        <v>274</v>
      </c>
      <c r="Q46">
        <v>1</v>
      </c>
      <c r="W46">
        <v>0</v>
      </c>
      <c r="X46">
        <v>-1554407757</v>
      </c>
      <c r="Y46">
        <v>0.1875</v>
      </c>
      <c r="AA46">
        <v>0</v>
      </c>
      <c r="AB46">
        <v>1143.94</v>
      </c>
      <c r="AC46">
        <v>504.09</v>
      </c>
      <c r="AD46">
        <v>0</v>
      </c>
      <c r="AE46">
        <v>0</v>
      </c>
      <c r="AF46">
        <v>86.4</v>
      </c>
      <c r="AG46">
        <v>13.5</v>
      </c>
      <c r="AH46">
        <v>0</v>
      </c>
      <c r="AI46">
        <v>1</v>
      </c>
      <c r="AJ46">
        <v>13.24</v>
      </c>
      <c r="AK46">
        <v>37.34</v>
      </c>
      <c r="AL46">
        <v>1</v>
      </c>
      <c r="AN46">
        <v>0</v>
      </c>
      <c r="AO46">
        <v>1</v>
      </c>
      <c r="AP46">
        <v>1</v>
      </c>
      <c r="AQ46">
        <v>0</v>
      </c>
      <c r="AR46">
        <v>0</v>
      </c>
      <c r="AT46">
        <v>0.01</v>
      </c>
      <c r="AU46" t="s">
        <v>136</v>
      </c>
      <c r="AV46">
        <v>0</v>
      </c>
      <c r="AW46">
        <v>2</v>
      </c>
      <c r="AX46">
        <v>55655688</v>
      </c>
      <c r="AY46">
        <v>1</v>
      </c>
      <c r="AZ46">
        <v>0</v>
      </c>
      <c r="BA46">
        <v>50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Y46*Source!I76</f>
        <v>0.181875</v>
      </c>
      <c r="CY46">
        <f>AB46</f>
        <v>1143.94</v>
      </c>
      <c r="CZ46">
        <f>AF46</f>
        <v>86.4</v>
      </c>
      <c r="DA46">
        <f>AJ46</f>
        <v>13.24</v>
      </c>
      <c r="DB46">
        <f>ROUND((ROUND(AT46*CZ46,2)*ROUND((1.25*15),7)),2)</f>
        <v>16.13</v>
      </c>
      <c r="DC46">
        <f>ROUND((ROUND(AT46*AG46,2)*ROUND((1.25*15),7)),2)</f>
        <v>2.63</v>
      </c>
    </row>
    <row r="47" spans="1:107" ht="12.75">
      <c r="A47">
        <f>ROW(Source!A76)</f>
        <v>76</v>
      </c>
      <c r="B47">
        <v>55655399</v>
      </c>
      <c r="C47">
        <v>55655680</v>
      </c>
      <c r="D47">
        <v>49620499</v>
      </c>
      <c r="E47">
        <v>1</v>
      </c>
      <c r="F47">
        <v>1</v>
      </c>
      <c r="G47">
        <v>1</v>
      </c>
      <c r="H47">
        <v>2</v>
      </c>
      <c r="I47" t="s">
        <v>293</v>
      </c>
      <c r="J47" t="s">
        <v>294</v>
      </c>
      <c r="K47" t="s">
        <v>295</v>
      </c>
      <c r="L47">
        <v>1368</v>
      </c>
      <c r="N47">
        <v>1011</v>
      </c>
      <c r="O47" t="s">
        <v>274</v>
      </c>
      <c r="P47" t="s">
        <v>274</v>
      </c>
      <c r="Q47">
        <v>1</v>
      </c>
      <c r="W47">
        <v>0</v>
      </c>
      <c r="X47">
        <v>-1845589996</v>
      </c>
      <c r="Y47">
        <v>0.375</v>
      </c>
      <c r="AA47">
        <v>0</v>
      </c>
      <c r="AB47">
        <v>1191.47</v>
      </c>
      <c r="AC47">
        <v>375.64</v>
      </c>
      <c r="AD47">
        <v>0</v>
      </c>
      <c r="AE47">
        <v>0</v>
      </c>
      <c r="AF47">
        <v>89.99</v>
      </c>
      <c r="AG47">
        <v>10.06</v>
      </c>
      <c r="AH47">
        <v>0</v>
      </c>
      <c r="AI47">
        <v>1</v>
      </c>
      <c r="AJ47">
        <v>13.24</v>
      </c>
      <c r="AK47">
        <v>37.34</v>
      </c>
      <c r="AL47">
        <v>1</v>
      </c>
      <c r="AN47">
        <v>0</v>
      </c>
      <c r="AO47">
        <v>1</v>
      </c>
      <c r="AP47">
        <v>1</v>
      </c>
      <c r="AQ47">
        <v>0</v>
      </c>
      <c r="AR47">
        <v>0</v>
      </c>
      <c r="AT47">
        <v>0.02</v>
      </c>
      <c r="AU47" t="s">
        <v>136</v>
      </c>
      <c r="AV47">
        <v>0</v>
      </c>
      <c r="AW47">
        <v>2</v>
      </c>
      <c r="AX47">
        <v>55655689</v>
      </c>
      <c r="AY47">
        <v>1</v>
      </c>
      <c r="AZ47">
        <v>0</v>
      </c>
      <c r="BA47">
        <v>51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Y47*Source!I76</f>
        <v>0.36375</v>
      </c>
      <c r="CY47">
        <f>AB47</f>
        <v>1191.47</v>
      </c>
      <c r="CZ47">
        <f>AF47</f>
        <v>89.99</v>
      </c>
      <c r="DA47">
        <f>AJ47</f>
        <v>13.24</v>
      </c>
      <c r="DB47">
        <f>ROUND((ROUND(AT47*CZ47,2)*ROUND((1.25*15),7)),2)</f>
        <v>33.75</v>
      </c>
      <c r="DC47">
        <f>ROUND((ROUND(AT47*AG47,2)*ROUND((1.25*15),7)),2)</f>
        <v>3.75</v>
      </c>
    </row>
    <row r="48" spans="1:107" ht="12.75">
      <c r="A48">
        <f>ROW(Source!A76)</f>
        <v>76</v>
      </c>
      <c r="B48">
        <v>55655399</v>
      </c>
      <c r="C48">
        <v>55655680</v>
      </c>
      <c r="D48">
        <v>53648308</v>
      </c>
      <c r="E48">
        <v>1</v>
      </c>
      <c r="F48">
        <v>1</v>
      </c>
      <c r="G48">
        <v>1</v>
      </c>
      <c r="H48">
        <v>3</v>
      </c>
      <c r="I48" t="s">
        <v>127</v>
      </c>
      <c r="J48" t="s">
        <v>130</v>
      </c>
      <c r="K48" t="s">
        <v>128</v>
      </c>
      <c r="L48">
        <v>1348</v>
      </c>
      <c r="N48">
        <v>1009</v>
      </c>
      <c r="O48" t="s">
        <v>129</v>
      </c>
      <c r="P48" t="s">
        <v>129</v>
      </c>
      <c r="Q48">
        <v>1000</v>
      </c>
      <c r="W48">
        <v>0</v>
      </c>
      <c r="X48">
        <v>-1961211957</v>
      </c>
      <c r="Y48">
        <v>2.707695</v>
      </c>
      <c r="AA48">
        <v>8353.3</v>
      </c>
      <c r="AB48">
        <v>0</v>
      </c>
      <c r="AC48">
        <v>0</v>
      </c>
      <c r="AD48">
        <v>0</v>
      </c>
      <c r="AE48">
        <v>1243.05</v>
      </c>
      <c r="AF48">
        <v>0</v>
      </c>
      <c r="AG48">
        <v>0</v>
      </c>
      <c r="AH48">
        <v>0</v>
      </c>
      <c r="AI48">
        <v>6.72</v>
      </c>
      <c r="AJ48">
        <v>1</v>
      </c>
      <c r="AK48">
        <v>1</v>
      </c>
      <c r="AL48">
        <v>1</v>
      </c>
      <c r="AN48">
        <v>0</v>
      </c>
      <c r="AO48">
        <v>0</v>
      </c>
      <c r="AP48">
        <v>1</v>
      </c>
      <c r="AQ48">
        <v>0</v>
      </c>
      <c r="AR48">
        <v>0</v>
      </c>
      <c r="AT48">
        <v>2.707695</v>
      </c>
      <c r="AV48">
        <v>0</v>
      </c>
      <c r="AW48">
        <v>1</v>
      </c>
      <c r="AX48">
        <v>-1</v>
      </c>
      <c r="AY48">
        <v>0</v>
      </c>
      <c r="AZ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Y48*Source!I76</f>
        <v>2.62646415</v>
      </c>
      <c r="CY48">
        <f>AA48</f>
        <v>8353.3</v>
      </c>
      <c r="CZ48">
        <f>AE48</f>
        <v>1243.05</v>
      </c>
      <c r="DA48">
        <f>AI48</f>
        <v>6.72</v>
      </c>
      <c r="DB48">
        <f>ROUND(ROUND(AT48*CZ48,2),2)</f>
        <v>3365.8</v>
      </c>
      <c r="DC48">
        <f>ROUND(ROUND(AT48*AG48,2),2)</f>
        <v>0</v>
      </c>
    </row>
    <row r="49" spans="1:107" ht="12.75">
      <c r="A49">
        <f>ROW(Source!A79)</f>
        <v>79</v>
      </c>
      <c r="B49">
        <v>55655398</v>
      </c>
      <c r="C49">
        <v>55655692</v>
      </c>
      <c r="D49">
        <v>49459391</v>
      </c>
      <c r="E49">
        <v>58</v>
      </c>
      <c r="F49">
        <v>1</v>
      </c>
      <c r="G49">
        <v>1</v>
      </c>
      <c r="H49">
        <v>1</v>
      </c>
      <c r="I49" t="s">
        <v>302</v>
      </c>
      <c r="K49" t="s">
        <v>303</v>
      </c>
      <c r="L49">
        <v>1191</v>
      </c>
      <c r="N49">
        <v>1013</v>
      </c>
      <c r="O49" t="s">
        <v>270</v>
      </c>
      <c r="P49" t="s">
        <v>270</v>
      </c>
      <c r="Q49">
        <v>1</v>
      </c>
      <c r="W49">
        <v>0</v>
      </c>
      <c r="X49">
        <v>-784637506</v>
      </c>
      <c r="Y49">
        <v>3.2199999999999998</v>
      </c>
      <c r="AA49">
        <v>0</v>
      </c>
      <c r="AB49">
        <v>0</v>
      </c>
      <c r="AC49">
        <v>0</v>
      </c>
      <c r="AD49">
        <v>8.74</v>
      </c>
      <c r="AE49">
        <v>0</v>
      </c>
      <c r="AF49">
        <v>0</v>
      </c>
      <c r="AG49">
        <v>0</v>
      </c>
      <c r="AH49">
        <v>8.74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1</v>
      </c>
      <c r="AQ49">
        <v>0</v>
      </c>
      <c r="AR49">
        <v>0</v>
      </c>
      <c r="AT49">
        <v>2.8</v>
      </c>
      <c r="AU49" t="s">
        <v>118</v>
      </c>
      <c r="AV49">
        <v>1</v>
      </c>
      <c r="AW49">
        <v>2</v>
      </c>
      <c r="AX49">
        <v>55655697</v>
      </c>
      <c r="AY49">
        <v>1</v>
      </c>
      <c r="AZ49">
        <v>0</v>
      </c>
      <c r="BA49">
        <v>53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Y49*Source!I79</f>
        <v>7.534799999999999</v>
      </c>
      <c r="CY49">
        <f>AD49</f>
        <v>8.74</v>
      </c>
      <c r="CZ49">
        <f>AH49</f>
        <v>8.74</v>
      </c>
      <c r="DA49">
        <f>AL49</f>
        <v>1</v>
      </c>
      <c r="DB49">
        <f>ROUND((ROUND(AT49*CZ49,2)*ROUND(1.15,7)),2)</f>
        <v>28.14</v>
      </c>
      <c r="DC49">
        <f>ROUND((ROUND(AT49*AG49,2)*ROUND(1.15,7)),2)</f>
        <v>0</v>
      </c>
    </row>
    <row r="50" spans="1:107" ht="12.75">
      <c r="A50">
        <f>ROW(Source!A79)</f>
        <v>79</v>
      </c>
      <c r="B50">
        <v>55655398</v>
      </c>
      <c r="C50">
        <v>55655692</v>
      </c>
      <c r="D50">
        <v>49459566</v>
      </c>
      <c r="E50">
        <v>58</v>
      </c>
      <c r="F50">
        <v>1</v>
      </c>
      <c r="G50">
        <v>1</v>
      </c>
      <c r="H50">
        <v>1</v>
      </c>
      <c r="I50" t="s">
        <v>289</v>
      </c>
      <c r="K50" t="s">
        <v>278</v>
      </c>
      <c r="L50">
        <v>1191</v>
      </c>
      <c r="N50">
        <v>1013</v>
      </c>
      <c r="O50" t="s">
        <v>270</v>
      </c>
      <c r="P50" t="s">
        <v>270</v>
      </c>
      <c r="Q50">
        <v>1</v>
      </c>
      <c r="W50">
        <v>0</v>
      </c>
      <c r="X50">
        <v>-1173606021</v>
      </c>
      <c r="Y50">
        <v>0.05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1</v>
      </c>
      <c r="AQ50">
        <v>0</v>
      </c>
      <c r="AR50">
        <v>0</v>
      </c>
      <c r="AT50">
        <v>0.04</v>
      </c>
      <c r="AU50" t="s">
        <v>117</v>
      </c>
      <c r="AV50">
        <v>2</v>
      </c>
      <c r="AW50">
        <v>2</v>
      </c>
      <c r="AX50">
        <v>55655698</v>
      </c>
      <c r="AY50">
        <v>1</v>
      </c>
      <c r="AZ50">
        <v>0</v>
      </c>
      <c r="BA50">
        <v>54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Y50*Source!I79</f>
        <v>0.11699999999999999</v>
      </c>
      <c r="CY50">
        <f>AD50</f>
        <v>0</v>
      </c>
      <c r="CZ50">
        <f>AH50</f>
        <v>0</v>
      </c>
      <c r="DA50">
        <f>AL50</f>
        <v>1</v>
      </c>
      <c r="DB50">
        <f>ROUND((ROUND(AT50*CZ50,2)*ROUND(1.25,7)),2)</f>
        <v>0</v>
      </c>
      <c r="DC50">
        <f>ROUND((ROUND(AT50*AG50,2)*ROUND(1.25,7)),2)</f>
        <v>0</v>
      </c>
    </row>
    <row r="51" spans="1:107" ht="12.75">
      <c r="A51">
        <f>ROW(Source!A79)</f>
        <v>79</v>
      </c>
      <c r="B51">
        <v>55655398</v>
      </c>
      <c r="C51">
        <v>55655692</v>
      </c>
      <c r="D51">
        <v>49621268</v>
      </c>
      <c r="E51">
        <v>1</v>
      </c>
      <c r="F51">
        <v>1</v>
      </c>
      <c r="G51">
        <v>1</v>
      </c>
      <c r="H51">
        <v>2</v>
      </c>
      <c r="I51" t="s">
        <v>304</v>
      </c>
      <c r="J51" t="s">
        <v>305</v>
      </c>
      <c r="K51" t="s">
        <v>306</v>
      </c>
      <c r="L51">
        <v>1368</v>
      </c>
      <c r="N51">
        <v>1011</v>
      </c>
      <c r="O51" t="s">
        <v>274</v>
      </c>
      <c r="P51" t="s">
        <v>274</v>
      </c>
      <c r="Q51">
        <v>1</v>
      </c>
      <c r="W51">
        <v>0</v>
      </c>
      <c r="X51">
        <v>1862470278</v>
      </c>
      <c r="Y51">
        <v>0.05</v>
      </c>
      <c r="AA51">
        <v>0</v>
      </c>
      <c r="AB51">
        <v>65.71</v>
      </c>
      <c r="AC51">
        <v>11.6</v>
      </c>
      <c r="AD51">
        <v>0</v>
      </c>
      <c r="AE51">
        <v>0</v>
      </c>
      <c r="AF51">
        <v>65.71</v>
      </c>
      <c r="AG51">
        <v>11.6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1</v>
      </c>
      <c r="AQ51">
        <v>0</v>
      </c>
      <c r="AR51">
        <v>0</v>
      </c>
      <c r="AT51">
        <v>0.04</v>
      </c>
      <c r="AU51" t="s">
        <v>117</v>
      </c>
      <c r="AV51">
        <v>0</v>
      </c>
      <c r="AW51">
        <v>2</v>
      </c>
      <c r="AX51">
        <v>55655699</v>
      </c>
      <c r="AY51">
        <v>1</v>
      </c>
      <c r="AZ51">
        <v>0</v>
      </c>
      <c r="BA51">
        <v>55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Y51*Source!I79</f>
        <v>0.11699999999999999</v>
      </c>
      <c r="CY51">
        <f>AB51</f>
        <v>65.71</v>
      </c>
      <c r="CZ51">
        <f>AF51</f>
        <v>65.71</v>
      </c>
      <c r="DA51">
        <f>AJ51</f>
        <v>1</v>
      </c>
      <c r="DB51">
        <f>ROUND((ROUND(AT51*CZ51,2)*ROUND(1.25,7)),2)</f>
        <v>3.29</v>
      </c>
      <c r="DC51">
        <f>ROUND((ROUND(AT51*AG51,2)*ROUND(1.25,7)),2)</f>
        <v>0.58</v>
      </c>
    </row>
    <row r="52" spans="1:107" ht="12.75">
      <c r="A52">
        <f>ROW(Source!A79)</f>
        <v>79</v>
      </c>
      <c r="B52">
        <v>55655398</v>
      </c>
      <c r="C52">
        <v>55655692</v>
      </c>
      <c r="D52">
        <v>49469859</v>
      </c>
      <c r="E52">
        <v>1</v>
      </c>
      <c r="F52">
        <v>1</v>
      </c>
      <c r="G52">
        <v>1</v>
      </c>
      <c r="H52">
        <v>3</v>
      </c>
      <c r="I52" t="s">
        <v>307</v>
      </c>
      <c r="J52" t="s">
        <v>308</v>
      </c>
      <c r="K52" t="s">
        <v>309</v>
      </c>
      <c r="L52">
        <v>1348</v>
      </c>
      <c r="N52">
        <v>1009</v>
      </c>
      <c r="O52" t="s">
        <v>129</v>
      </c>
      <c r="P52" t="s">
        <v>129</v>
      </c>
      <c r="Q52">
        <v>1000</v>
      </c>
      <c r="W52">
        <v>0</v>
      </c>
      <c r="X52">
        <v>-1214354032</v>
      </c>
      <c r="Y52">
        <v>0.045</v>
      </c>
      <c r="AA52">
        <v>2000</v>
      </c>
      <c r="AB52">
        <v>0</v>
      </c>
      <c r="AC52">
        <v>0</v>
      </c>
      <c r="AD52">
        <v>0</v>
      </c>
      <c r="AE52">
        <v>2000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0.045</v>
      </c>
      <c r="AV52">
        <v>0</v>
      </c>
      <c r="AW52">
        <v>2</v>
      </c>
      <c r="AX52">
        <v>55655700</v>
      </c>
      <c r="AY52">
        <v>1</v>
      </c>
      <c r="AZ52">
        <v>0</v>
      </c>
      <c r="BA52">
        <v>56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Y52*Source!I79</f>
        <v>0.10529999999999999</v>
      </c>
      <c r="CY52">
        <f>AA52</f>
        <v>2000</v>
      </c>
      <c r="CZ52">
        <f>AE52</f>
        <v>2000</v>
      </c>
      <c r="DA52">
        <f>AI52</f>
        <v>1</v>
      </c>
      <c r="DB52">
        <f>ROUND(ROUND(AT52*CZ52,2),2)</f>
        <v>90</v>
      </c>
      <c r="DC52">
        <f>ROUND(ROUND(AT52*AG52,2),2)</f>
        <v>0</v>
      </c>
    </row>
    <row r="53" spans="1:107" ht="12.75">
      <c r="A53">
        <f>ROW(Source!A80)</f>
        <v>80</v>
      </c>
      <c r="B53">
        <v>55655399</v>
      </c>
      <c r="C53">
        <v>55655692</v>
      </c>
      <c r="D53">
        <v>49459391</v>
      </c>
      <c r="E53">
        <v>58</v>
      </c>
      <c r="F53">
        <v>1</v>
      </c>
      <c r="G53">
        <v>1</v>
      </c>
      <c r="H53">
        <v>1</v>
      </c>
      <c r="I53" t="s">
        <v>302</v>
      </c>
      <c r="K53" t="s">
        <v>303</v>
      </c>
      <c r="L53">
        <v>1191</v>
      </c>
      <c r="N53">
        <v>1013</v>
      </c>
      <c r="O53" t="s">
        <v>270</v>
      </c>
      <c r="P53" t="s">
        <v>270</v>
      </c>
      <c r="Q53">
        <v>1</v>
      </c>
      <c r="W53">
        <v>0</v>
      </c>
      <c r="X53">
        <v>-784637506</v>
      </c>
      <c r="Y53">
        <v>3.2199999999999998</v>
      </c>
      <c r="AA53">
        <v>0</v>
      </c>
      <c r="AB53">
        <v>0</v>
      </c>
      <c r="AC53">
        <v>0</v>
      </c>
      <c r="AD53">
        <v>326.35</v>
      </c>
      <c r="AE53">
        <v>0</v>
      </c>
      <c r="AF53">
        <v>0</v>
      </c>
      <c r="AG53">
        <v>0</v>
      </c>
      <c r="AH53">
        <v>8.74</v>
      </c>
      <c r="AI53">
        <v>1</v>
      </c>
      <c r="AJ53">
        <v>1</v>
      </c>
      <c r="AK53">
        <v>1</v>
      </c>
      <c r="AL53">
        <v>37.34</v>
      </c>
      <c r="AN53">
        <v>0</v>
      </c>
      <c r="AO53">
        <v>1</v>
      </c>
      <c r="AP53">
        <v>1</v>
      </c>
      <c r="AQ53">
        <v>0</v>
      </c>
      <c r="AR53">
        <v>0</v>
      </c>
      <c r="AT53">
        <v>2.8</v>
      </c>
      <c r="AU53" t="s">
        <v>118</v>
      </c>
      <c r="AV53">
        <v>1</v>
      </c>
      <c r="AW53">
        <v>2</v>
      </c>
      <c r="AX53">
        <v>55655697</v>
      </c>
      <c r="AY53">
        <v>1</v>
      </c>
      <c r="AZ53">
        <v>0</v>
      </c>
      <c r="BA53">
        <v>57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Y53*Source!I80</f>
        <v>7.534799999999999</v>
      </c>
      <c r="CY53">
        <f>AD53</f>
        <v>326.35</v>
      </c>
      <c r="CZ53">
        <f>AH53</f>
        <v>8.74</v>
      </c>
      <c r="DA53">
        <f>AL53</f>
        <v>37.34</v>
      </c>
      <c r="DB53">
        <f>ROUND((ROUND(AT53*CZ53,2)*ROUND(1.15,7)),2)</f>
        <v>28.14</v>
      </c>
      <c r="DC53">
        <f>ROUND((ROUND(AT53*AG53,2)*ROUND(1.15,7)),2)</f>
        <v>0</v>
      </c>
    </row>
    <row r="54" spans="1:107" ht="12.75">
      <c r="A54">
        <f>ROW(Source!A80)</f>
        <v>80</v>
      </c>
      <c r="B54">
        <v>55655399</v>
      </c>
      <c r="C54">
        <v>55655692</v>
      </c>
      <c r="D54">
        <v>49459566</v>
      </c>
      <c r="E54">
        <v>58</v>
      </c>
      <c r="F54">
        <v>1</v>
      </c>
      <c r="G54">
        <v>1</v>
      </c>
      <c r="H54">
        <v>1</v>
      </c>
      <c r="I54" t="s">
        <v>289</v>
      </c>
      <c r="K54" t="s">
        <v>278</v>
      </c>
      <c r="L54">
        <v>1191</v>
      </c>
      <c r="N54">
        <v>1013</v>
      </c>
      <c r="O54" t="s">
        <v>270</v>
      </c>
      <c r="P54" t="s">
        <v>270</v>
      </c>
      <c r="Q54">
        <v>1</v>
      </c>
      <c r="W54">
        <v>0</v>
      </c>
      <c r="X54">
        <v>-1173606021</v>
      </c>
      <c r="Y54">
        <v>0.05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37.34</v>
      </c>
      <c r="AL54">
        <v>1</v>
      </c>
      <c r="AN54">
        <v>0</v>
      </c>
      <c r="AO54">
        <v>1</v>
      </c>
      <c r="AP54">
        <v>1</v>
      </c>
      <c r="AQ54">
        <v>0</v>
      </c>
      <c r="AR54">
        <v>0</v>
      </c>
      <c r="AT54">
        <v>0.04</v>
      </c>
      <c r="AU54" t="s">
        <v>117</v>
      </c>
      <c r="AV54">
        <v>2</v>
      </c>
      <c r="AW54">
        <v>2</v>
      </c>
      <c r="AX54">
        <v>55655698</v>
      </c>
      <c r="AY54">
        <v>1</v>
      </c>
      <c r="AZ54">
        <v>0</v>
      </c>
      <c r="BA54">
        <v>58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Y54*Source!I80</f>
        <v>0.11699999999999999</v>
      </c>
      <c r="CY54">
        <f>AD54</f>
        <v>0</v>
      </c>
      <c r="CZ54">
        <f>AH54</f>
        <v>0</v>
      </c>
      <c r="DA54">
        <f>AL54</f>
        <v>1</v>
      </c>
      <c r="DB54">
        <f>ROUND((ROUND(AT54*CZ54,2)*ROUND(1.25,7)),2)</f>
        <v>0</v>
      </c>
      <c r="DC54">
        <f>ROUND((ROUND(AT54*AG54,2)*ROUND(1.25,7)),2)</f>
        <v>0</v>
      </c>
    </row>
    <row r="55" spans="1:107" ht="12.75">
      <c r="A55">
        <f>ROW(Source!A80)</f>
        <v>80</v>
      </c>
      <c r="B55">
        <v>55655399</v>
      </c>
      <c r="C55">
        <v>55655692</v>
      </c>
      <c r="D55">
        <v>49621268</v>
      </c>
      <c r="E55">
        <v>1</v>
      </c>
      <c r="F55">
        <v>1</v>
      </c>
      <c r="G55">
        <v>1</v>
      </c>
      <c r="H55">
        <v>2</v>
      </c>
      <c r="I55" t="s">
        <v>304</v>
      </c>
      <c r="J55" t="s">
        <v>305</v>
      </c>
      <c r="K55" t="s">
        <v>306</v>
      </c>
      <c r="L55">
        <v>1368</v>
      </c>
      <c r="N55">
        <v>1011</v>
      </c>
      <c r="O55" t="s">
        <v>274</v>
      </c>
      <c r="P55" t="s">
        <v>274</v>
      </c>
      <c r="Q55">
        <v>1</v>
      </c>
      <c r="W55">
        <v>0</v>
      </c>
      <c r="X55">
        <v>1862470278</v>
      </c>
      <c r="Y55">
        <v>0.05</v>
      </c>
      <c r="AA55">
        <v>0</v>
      </c>
      <c r="AB55">
        <v>870</v>
      </c>
      <c r="AC55">
        <v>433.14</v>
      </c>
      <c r="AD55">
        <v>0</v>
      </c>
      <c r="AE55">
        <v>0</v>
      </c>
      <c r="AF55">
        <v>65.71</v>
      </c>
      <c r="AG55">
        <v>11.6</v>
      </c>
      <c r="AH55">
        <v>0</v>
      </c>
      <c r="AI55">
        <v>1</v>
      </c>
      <c r="AJ55">
        <v>13.24</v>
      </c>
      <c r="AK55">
        <v>37.34</v>
      </c>
      <c r="AL55">
        <v>1</v>
      </c>
      <c r="AN55">
        <v>0</v>
      </c>
      <c r="AO55">
        <v>1</v>
      </c>
      <c r="AP55">
        <v>1</v>
      </c>
      <c r="AQ55">
        <v>0</v>
      </c>
      <c r="AR55">
        <v>0</v>
      </c>
      <c r="AT55">
        <v>0.04</v>
      </c>
      <c r="AU55" t="s">
        <v>117</v>
      </c>
      <c r="AV55">
        <v>0</v>
      </c>
      <c r="AW55">
        <v>2</v>
      </c>
      <c r="AX55">
        <v>55655699</v>
      </c>
      <c r="AY55">
        <v>1</v>
      </c>
      <c r="AZ55">
        <v>0</v>
      </c>
      <c r="BA55">
        <v>59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Y55*Source!I80</f>
        <v>0.11699999999999999</v>
      </c>
      <c r="CY55">
        <f>AB55</f>
        <v>870</v>
      </c>
      <c r="CZ55">
        <f>AF55</f>
        <v>65.71</v>
      </c>
      <c r="DA55">
        <f>AJ55</f>
        <v>13.24</v>
      </c>
      <c r="DB55">
        <f>ROUND((ROUND(AT55*CZ55,2)*ROUND(1.25,7)),2)</f>
        <v>3.29</v>
      </c>
      <c r="DC55">
        <f>ROUND((ROUND(AT55*AG55,2)*ROUND(1.25,7)),2)</f>
        <v>0.58</v>
      </c>
    </row>
    <row r="56" spans="1:107" ht="12.75">
      <c r="A56">
        <f>ROW(Source!A80)</f>
        <v>80</v>
      </c>
      <c r="B56">
        <v>55655399</v>
      </c>
      <c r="C56">
        <v>55655692</v>
      </c>
      <c r="D56">
        <v>49469859</v>
      </c>
      <c r="E56">
        <v>1</v>
      </c>
      <c r="F56">
        <v>1</v>
      </c>
      <c r="G56">
        <v>1</v>
      </c>
      <c r="H56">
        <v>3</v>
      </c>
      <c r="I56" t="s">
        <v>307</v>
      </c>
      <c r="J56" t="s">
        <v>308</v>
      </c>
      <c r="K56" t="s">
        <v>309</v>
      </c>
      <c r="L56">
        <v>1348</v>
      </c>
      <c r="N56">
        <v>1009</v>
      </c>
      <c r="O56" t="s">
        <v>129</v>
      </c>
      <c r="P56" t="s">
        <v>129</v>
      </c>
      <c r="Q56">
        <v>1000</v>
      </c>
      <c r="W56">
        <v>0</v>
      </c>
      <c r="X56">
        <v>-1214354032</v>
      </c>
      <c r="Y56">
        <v>0.045</v>
      </c>
      <c r="AA56">
        <v>13440</v>
      </c>
      <c r="AB56">
        <v>0</v>
      </c>
      <c r="AC56">
        <v>0</v>
      </c>
      <c r="AD56">
        <v>0</v>
      </c>
      <c r="AE56">
        <v>2000</v>
      </c>
      <c r="AF56">
        <v>0</v>
      </c>
      <c r="AG56">
        <v>0</v>
      </c>
      <c r="AH56">
        <v>0</v>
      </c>
      <c r="AI56">
        <v>6.72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0.045</v>
      </c>
      <c r="AV56">
        <v>0</v>
      </c>
      <c r="AW56">
        <v>2</v>
      </c>
      <c r="AX56">
        <v>55655700</v>
      </c>
      <c r="AY56">
        <v>1</v>
      </c>
      <c r="AZ56">
        <v>0</v>
      </c>
      <c r="BA56">
        <v>60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Y56*Source!I80</f>
        <v>0.10529999999999999</v>
      </c>
      <c r="CY56">
        <f>AA56</f>
        <v>13440</v>
      </c>
      <c r="CZ56">
        <f>AE56</f>
        <v>2000</v>
      </c>
      <c r="DA56">
        <f>AI56</f>
        <v>6.72</v>
      </c>
      <c r="DB56">
        <f>ROUND(ROUND(AT56*CZ56,2),2)</f>
        <v>90</v>
      </c>
      <c r="DC56">
        <f>ROUND(ROUND(AT56*AG56,2),2)</f>
        <v>0</v>
      </c>
    </row>
    <row r="57" spans="1:107" ht="12.75">
      <c r="A57">
        <f>ROW(Source!A81)</f>
        <v>81</v>
      </c>
      <c r="B57">
        <v>55655398</v>
      </c>
      <c r="C57">
        <v>55656137</v>
      </c>
      <c r="D57">
        <v>53630067</v>
      </c>
      <c r="E57">
        <v>70</v>
      </c>
      <c r="F57">
        <v>1</v>
      </c>
      <c r="G57">
        <v>1</v>
      </c>
      <c r="H57">
        <v>1</v>
      </c>
      <c r="I57" t="s">
        <v>310</v>
      </c>
      <c r="K57" t="s">
        <v>311</v>
      </c>
      <c r="L57">
        <v>1191</v>
      </c>
      <c r="N57">
        <v>1013</v>
      </c>
      <c r="O57" t="s">
        <v>270</v>
      </c>
      <c r="P57" t="s">
        <v>270</v>
      </c>
      <c r="Q57">
        <v>1</v>
      </c>
      <c r="W57">
        <v>0</v>
      </c>
      <c r="X57">
        <v>1049124552</v>
      </c>
      <c r="Y57">
        <v>111.78</v>
      </c>
      <c r="AA57">
        <v>0</v>
      </c>
      <c r="AB57">
        <v>0</v>
      </c>
      <c r="AC57">
        <v>0</v>
      </c>
      <c r="AD57">
        <v>8.53</v>
      </c>
      <c r="AE57">
        <v>0</v>
      </c>
      <c r="AF57">
        <v>0</v>
      </c>
      <c r="AG57">
        <v>0</v>
      </c>
      <c r="AH57">
        <v>8.53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1</v>
      </c>
      <c r="AQ57">
        <v>0</v>
      </c>
      <c r="AR57">
        <v>0</v>
      </c>
      <c r="AT57">
        <v>97.2</v>
      </c>
      <c r="AU57" t="s">
        <v>118</v>
      </c>
      <c r="AV57">
        <v>1</v>
      </c>
      <c r="AW57">
        <v>2</v>
      </c>
      <c r="AX57">
        <v>55656138</v>
      </c>
      <c r="AY57">
        <v>1</v>
      </c>
      <c r="AZ57">
        <v>0</v>
      </c>
      <c r="BA57">
        <v>61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Y57*Source!I81</f>
        <v>3.3533999999999997</v>
      </c>
      <c r="CY57">
        <f>AD57</f>
        <v>8.53</v>
      </c>
      <c r="CZ57">
        <f>AH57</f>
        <v>8.53</v>
      </c>
      <c r="DA57">
        <f>AL57</f>
        <v>1</v>
      </c>
      <c r="DB57">
        <f>ROUND((ROUND(AT57*CZ57,2)*ROUND(1.15,7)),2)</f>
        <v>953.49</v>
      </c>
      <c r="DC57">
        <f>ROUND((ROUND(AT57*AG57,2)*ROUND(1.15,7)),2)</f>
        <v>0</v>
      </c>
    </row>
    <row r="58" spans="1:107" ht="12.75">
      <c r="A58">
        <f>ROW(Source!A81)</f>
        <v>81</v>
      </c>
      <c r="B58">
        <v>55655398</v>
      </c>
      <c r="C58">
        <v>55656137</v>
      </c>
      <c r="D58">
        <v>53630257</v>
      </c>
      <c r="E58">
        <v>70</v>
      </c>
      <c r="F58">
        <v>1</v>
      </c>
      <c r="G58">
        <v>1</v>
      </c>
      <c r="H58">
        <v>1</v>
      </c>
      <c r="I58" t="s">
        <v>277</v>
      </c>
      <c r="K58" t="s">
        <v>278</v>
      </c>
      <c r="L58">
        <v>1191</v>
      </c>
      <c r="N58">
        <v>1013</v>
      </c>
      <c r="O58" t="s">
        <v>270</v>
      </c>
      <c r="P58" t="s">
        <v>270</v>
      </c>
      <c r="Q58">
        <v>1</v>
      </c>
      <c r="W58">
        <v>0</v>
      </c>
      <c r="X58">
        <v>-1417349443</v>
      </c>
      <c r="Y58">
        <v>0.3375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1</v>
      </c>
      <c r="AQ58">
        <v>0</v>
      </c>
      <c r="AR58">
        <v>0</v>
      </c>
      <c r="AT58">
        <v>0.27</v>
      </c>
      <c r="AU58" t="s">
        <v>117</v>
      </c>
      <c r="AV58">
        <v>2</v>
      </c>
      <c r="AW58">
        <v>2</v>
      </c>
      <c r="AX58">
        <v>55656139</v>
      </c>
      <c r="AY58">
        <v>1</v>
      </c>
      <c r="AZ58">
        <v>0</v>
      </c>
      <c r="BA58">
        <v>62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Y58*Source!I81</f>
        <v>0.010125</v>
      </c>
      <c r="CY58">
        <f>AD58</f>
        <v>0</v>
      </c>
      <c r="CZ58">
        <f>AH58</f>
        <v>0</v>
      </c>
      <c r="DA58">
        <f>AL58</f>
        <v>1</v>
      </c>
      <c r="DB58">
        <f>ROUND((ROUND(AT58*CZ58,2)*ROUND(1.25,7)),2)</f>
        <v>0</v>
      </c>
      <c r="DC58">
        <f>ROUND((ROUND(AT58*AG58,2)*ROUND(1.25,7)),2)</f>
        <v>0</v>
      </c>
    </row>
    <row r="59" spans="1:107" ht="12.75">
      <c r="A59">
        <f>ROW(Source!A81)</f>
        <v>81</v>
      </c>
      <c r="B59">
        <v>55655398</v>
      </c>
      <c r="C59">
        <v>55656137</v>
      </c>
      <c r="D59">
        <v>53791939</v>
      </c>
      <c r="E59">
        <v>1</v>
      </c>
      <c r="F59">
        <v>1</v>
      </c>
      <c r="G59">
        <v>1</v>
      </c>
      <c r="H59">
        <v>2</v>
      </c>
      <c r="I59" t="s">
        <v>290</v>
      </c>
      <c r="J59" t="s">
        <v>291</v>
      </c>
      <c r="K59" t="s">
        <v>292</v>
      </c>
      <c r="L59">
        <v>1367</v>
      </c>
      <c r="N59">
        <v>1011</v>
      </c>
      <c r="O59" t="s">
        <v>282</v>
      </c>
      <c r="P59" t="s">
        <v>282</v>
      </c>
      <c r="Q59">
        <v>1</v>
      </c>
      <c r="W59">
        <v>0</v>
      </c>
      <c r="X59">
        <v>-130837057</v>
      </c>
      <c r="Y59">
        <v>0.25</v>
      </c>
      <c r="AA59">
        <v>0</v>
      </c>
      <c r="AB59">
        <v>86.4</v>
      </c>
      <c r="AC59">
        <v>13.5</v>
      </c>
      <c r="AD59">
        <v>0</v>
      </c>
      <c r="AE59">
        <v>0</v>
      </c>
      <c r="AF59">
        <v>86.4</v>
      </c>
      <c r="AG59">
        <v>13.5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1</v>
      </c>
      <c r="AQ59">
        <v>0</v>
      </c>
      <c r="AR59">
        <v>0</v>
      </c>
      <c r="AT59">
        <v>0.2</v>
      </c>
      <c r="AU59" t="s">
        <v>117</v>
      </c>
      <c r="AV59">
        <v>0</v>
      </c>
      <c r="AW59">
        <v>2</v>
      </c>
      <c r="AX59">
        <v>55656140</v>
      </c>
      <c r="AY59">
        <v>1</v>
      </c>
      <c r="AZ59">
        <v>0</v>
      </c>
      <c r="BA59">
        <v>63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Y59*Source!I81</f>
        <v>0.0075</v>
      </c>
      <c r="CY59">
        <f>AB59</f>
        <v>86.4</v>
      </c>
      <c r="CZ59">
        <f>AF59</f>
        <v>86.4</v>
      </c>
      <c r="DA59">
        <f>AJ59</f>
        <v>1</v>
      </c>
      <c r="DB59">
        <f>ROUND((ROUND(AT59*CZ59,2)*ROUND(1.25,7)),2)</f>
        <v>21.6</v>
      </c>
      <c r="DC59">
        <f>ROUND((ROUND(AT59*AG59,2)*ROUND(1.25,7)),2)</f>
        <v>3.38</v>
      </c>
    </row>
    <row r="60" spans="1:107" ht="12.75">
      <c r="A60">
        <f>ROW(Source!A81)</f>
        <v>81</v>
      </c>
      <c r="B60">
        <v>55655398</v>
      </c>
      <c r="C60">
        <v>55656137</v>
      </c>
      <c r="D60">
        <v>53792927</v>
      </c>
      <c r="E60">
        <v>1</v>
      </c>
      <c r="F60">
        <v>1</v>
      </c>
      <c r="G60">
        <v>1</v>
      </c>
      <c r="H60">
        <v>2</v>
      </c>
      <c r="I60" t="s">
        <v>304</v>
      </c>
      <c r="J60" t="s">
        <v>305</v>
      </c>
      <c r="K60" t="s">
        <v>306</v>
      </c>
      <c r="L60">
        <v>1367</v>
      </c>
      <c r="N60">
        <v>1011</v>
      </c>
      <c r="O60" t="s">
        <v>282</v>
      </c>
      <c r="P60" t="s">
        <v>282</v>
      </c>
      <c r="Q60">
        <v>1</v>
      </c>
      <c r="W60">
        <v>0</v>
      </c>
      <c r="X60">
        <v>509054691</v>
      </c>
      <c r="Y60">
        <v>0.08750000000000001</v>
      </c>
      <c r="AA60">
        <v>0</v>
      </c>
      <c r="AB60">
        <v>65.71</v>
      </c>
      <c r="AC60">
        <v>11.6</v>
      </c>
      <c r="AD60">
        <v>0</v>
      </c>
      <c r="AE60">
        <v>0</v>
      </c>
      <c r="AF60">
        <v>65.71</v>
      </c>
      <c r="AG60">
        <v>11.6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1</v>
      </c>
      <c r="AQ60">
        <v>0</v>
      </c>
      <c r="AR60">
        <v>0</v>
      </c>
      <c r="AT60">
        <v>0.07</v>
      </c>
      <c r="AU60" t="s">
        <v>117</v>
      </c>
      <c r="AV60">
        <v>0</v>
      </c>
      <c r="AW60">
        <v>2</v>
      </c>
      <c r="AX60">
        <v>55656141</v>
      </c>
      <c r="AY60">
        <v>1</v>
      </c>
      <c r="AZ60">
        <v>0</v>
      </c>
      <c r="BA60">
        <v>64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Y60*Source!I81</f>
        <v>0.002625</v>
      </c>
      <c r="CY60">
        <f>AB60</f>
        <v>65.71</v>
      </c>
      <c r="CZ60">
        <f>AF60</f>
        <v>65.71</v>
      </c>
      <c r="DA60">
        <f>AJ60</f>
        <v>1</v>
      </c>
      <c r="DB60">
        <f>ROUND((ROUND(AT60*CZ60,2)*ROUND(1.25,7)),2)</f>
        <v>5.75</v>
      </c>
      <c r="DC60">
        <f>ROUND((ROUND(AT60*AG60,2)*ROUND(1.25,7)),2)</f>
        <v>1.01</v>
      </c>
    </row>
    <row r="61" spans="1:107" ht="12.75">
      <c r="A61">
        <f>ROW(Source!A81)</f>
        <v>81</v>
      </c>
      <c r="B61">
        <v>55655398</v>
      </c>
      <c r="C61">
        <v>55656137</v>
      </c>
      <c r="D61">
        <v>53644957</v>
      </c>
      <c r="E61">
        <v>1</v>
      </c>
      <c r="F61">
        <v>1</v>
      </c>
      <c r="G61">
        <v>1</v>
      </c>
      <c r="H61">
        <v>3</v>
      </c>
      <c r="I61" t="s">
        <v>312</v>
      </c>
      <c r="J61" t="s">
        <v>313</v>
      </c>
      <c r="K61" t="s">
        <v>314</v>
      </c>
      <c r="L61">
        <v>1348</v>
      </c>
      <c r="N61">
        <v>1009</v>
      </c>
      <c r="O61" t="s">
        <v>129</v>
      </c>
      <c r="P61" t="s">
        <v>129</v>
      </c>
      <c r="Q61">
        <v>1000</v>
      </c>
      <c r="W61">
        <v>0</v>
      </c>
      <c r="X61">
        <v>-384732532</v>
      </c>
      <c r="Y61">
        <v>0.004</v>
      </c>
      <c r="AA61">
        <v>8475</v>
      </c>
      <c r="AB61">
        <v>0</v>
      </c>
      <c r="AC61">
        <v>0</v>
      </c>
      <c r="AD61">
        <v>0</v>
      </c>
      <c r="AE61">
        <v>8475</v>
      </c>
      <c r="AF61">
        <v>0</v>
      </c>
      <c r="AG61">
        <v>0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T61">
        <v>0.004</v>
      </c>
      <c r="AV61">
        <v>0</v>
      </c>
      <c r="AW61">
        <v>2</v>
      </c>
      <c r="AX61">
        <v>55656142</v>
      </c>
      <c r="AY61">
        <v>1</v>
      </c>
      <c r="AZ61">
        <v>0</v>
      </c>
      <c r="BA61">
        <v>65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Y61*Source!I81</f>
        <v>0.00012</v>
      </c>
      <c r="CY61">
        <f>AA61</f>
        <v>8475</v>
      </c>
      <c r="CZ61">
        <f>AE61</f>
        <v>8475</v>
      </c>
      <c r="DA61">
        <f>AI61</f>
        <v>1</v>
      </c>
      <c r="DB61">
        <f>ROUND(ROUND(AT61*CZ61,2),2)</f>
        <v>33.9</v>
      </c>
      <c r="DC61">
        <f>ROUND(ROUND(AT61*AG61,2),2)</f>
        <v>0</v>
      </c>
    </row>
    <row r="62" spans="1:107" ht="12.75">
      <c r="A62">
        <f>ROW(Source!A81)</f>
        <v>81</v>
      </c>
      <c r="B62">
        <v>55655398</v>
      </c>
      <c r="C62">
        <v>55656137</v>
      </c>
      <c r="D62">
        <v>53662057</v>
      </c>
      <c r="E62">
        <v>1</v>
      </c>
      <c r="F62">
        <v>1</v>
      </c>
      <c r="G62">
        <v>1</v>
      </c>
      <c r="H62">
        <v>3</v>
      </c>
      <c r="I62" t="s">
        <v>315</v>
      </c>
      <c r="J62" t="s">
        <v>316</v>
      </c>
      <c r="K62" t="s">
        <v>317</v>
      </c>
      <c r="L62">
        <v>1348</v>
      </c>
      <c r="N62">
        <v>1009</v>
      </c>
      <c r="O62" t="s">
        <v>129</v>
      </c>
      <c r="P62" t="s">
        <v>129</v>
      </c>
      <c r="Q62">
        <v>1000</v>
      </c>
      <c r="W62">
        <v>0</v>
      </c>
      <c r="X62">
        <v>-581832824</v>
      </c>
      <c r="Y62">
        <v>0.012</v>
      </c>
      <c r="AA62">
        <v>8190</v>
      </c>
      <c r="AB62">
        <v>0</v>
      </c>
      <c r="AC62">
        <v>0</v>
      </c>
      <c r="AD62">
        <v>0</v>
      </c>
      <c r="AE62">
        <v>8190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T62">
        <v>0.012</v>
      </c>
      <c r="AV62">
        <v>0</v>
      </c>
      <c r="AW62">
        <v>2</v>
      </c>
      <c r="AX62">
        <v>55656143</v>
      </c>
      <c r="AY62">
        <v>1</v>
      </c>
      <c r="AZ62">
        <v>0</v>
      </c>
      <c r="BA62">
        <v>66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Y62*Source!I81</f>
        <v>0.00035999999999999997</v>
      </c>
      <c r="CY62">
        <f>AA62</f>
        <v>8190</v>
      </c>
      <c r="CZ62">
        <f>AE62</f>
        <v>8190</v>
      </c>
      <c r="DA62">
        <f>AI62</f>
        <v>1</v>
      </c>
      <c r="DB62">
        <f>ROUND(ROUND(AT62*CZ62,2),2)</f>
        <v>98.28</v>
      </c>
      <c r="DC62">
        <f>ROUND(ROUND(AT62*AG62,2),2)</f>
        <v>0</v>
      </c>
    </row>
    <row r="63" spans="1:107" ht="12.75">
      <c r="A63">
        <f>ROW(Source!A81)</f>
        <v>81</v>
      </c>
      <c r="B63">
        <v>55655398</v>
      </c>
      <c r="C63">
        <v>55656137</v>
      </c>
      <c r="D63">
        <v>53662302</v>
      </c>
      <c r="E63">
        <v>1</v>
      </c>
      <c r="F63">
        <v>1</v>
      </c>
      <c r="G63">
        <v>1</v>
      </c>
      <c r="H63">
        <v>3</v>
      </c>
      <c r="I63" t="s">
        <v>318</v>
      </c>
      <c r="J63" t="s">
        <v>319</v>
      </c>
      <c r="K63" t="s">
        <v>320</v>
      </c>
      <c r="L63">
        <v>1348</v>
      </c>
      <c r="N63">
        <v>1009</v>
      </c>
      <c r="O63" t="s">
        <v>129</v>
      </c>
      <c r="P63" t="s">
        <v>129</v>
      </c>
      <c r="Q63">
        <v>1000</v>
      </c>
      <c r="W63">
        <v>0</v>
      </c>
      <c r="X63">
        <v>-509681559</v>
      </c>
      <c r="Y63">
        <v>0.57</v>
      </c>
      <c r="AA63">
        <v>11200</v>
      </c>
      <c r="AB63">
        <v>0</v>
      </c>
      <c r="AC63">
        <v>0</v>
      </c>
      <c r="AD63">
        <v>0</v>
      </c>
      <c r="AE63">
        <v>11200</v>
      </c>
      <c r="AF63">
        <v>0</v>
      </c>
      <c r="AG63">
        <v>0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T63">
        <v>0.57</v>
      </c>
      <c r="AV63">
        <v>0</v>
      </c>
      <c r="AW63">
        <v>2</v>
      </c>
      <c r="AX63">
        <v>55656144</v>
      </c>
      <c r="AY63">
        <v>1</v>
      </c>
      <c r="AZ63">
        <v>0</v>
      </c>
      <c r="BA63">
        <v>67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Y63*Source!I81</f>
        <v>0.017099999999999997</v>
      </c>
      <c r="CY63">
        <f>AA63</f>
        <v>11200</v>
      </c>
      <c r="CZ63">
        <f>AE63</f>
        <v>11200</v>
      </c>
      <c r="DA63">
        <f>AI63</f>
        <v>1</v>
      </c>
      <c r="DB63">
        <f>ROUND(ROUND(AT63*CZ63,2),2)</f>
        <v>6384</v>
      </c>
      <c r="DC63">
        <f>ROUND(ROUND(AT63*AG63,2),2)</f>
        <v>0</v>
      </c>
    </row>
    <row r="64" spans="1:107" ht="12.75">
      <c r="A64">
        <f>ROW(Source!A82)</f>
        <v>82</v>
      </c>
      <c r="B64">
        <v>55655399</v>
      </c>
      <c r="C64">
        <v>55656137</v>
      </c>
      <c r="D64">
        <v>53630067</v>
      </c>
      <c r="E64">
        <v>70</v>
      </c>
      <c r="F64">
        <v>1</v>
      </c>
      <c r="G64">
        <v>1</v>
      </c>
      <c r="H64">
        <v>1</v>
      </c>
      <c r="I64" t="s">
        <v>310</v>
      </c>
      <c r="K64" t="s">
        <v>311</v>
      </c>
      <c r="L64">
        <v>1191</v>
      </c>
      <c r="N64">
        <v>1013</v>
      </c>
      <c r="O64" t="s">
        <v>270</v>
      </c>
      <c r="P64" t="s">
        <v>270</v>
      </c>
      <c r="Q64">
        <v>1</v>
      </c>
      <c r="W64">
        <v>0</v>
      </c>
      <c r="X64">
        <v>1049124552</v>
      </c>
      <c r="Y64">
        <v>111.78</v>
      </c>
      <c r="AA64">
        <v>0</v>
      </c>
      <c r="AB64">
        <v>0</v>
      </c>
      <c r="AC64">
        <v>0</v>
      </c>
      <c r="AD64">
        <v>318.51</v>
      </c>
      <c r="AE64">
        <v>0</v>
      </c>
      <c r="AF64">
        <v>0</v>
      </c>
      <c r="AG64">
        <v>0</v>
      </c>
      <c r="AH64">
        <v>8.53</v>
      </c>
      <c r="AI64">
        <v>1</v>
      </c>
      <c r="AJ64">
        <v>1</v>
      </c>
      <c r="AK64">
        <v>1</v>
      </c>
      <c r="AL64">
        <v>37.34</v>
      </c>
      <c r="AN64">
        <v>0</v>
      </c>
      <c r="AO64">
        <v>1</v>
      </c>
      <c r="AP64">
        <v>1</v>
      </c>
      <c r="AQ64">
        <v>0</v>
      </c>
      <c r="AR64">
        <v>0</v>
      </c>
      <c r="AT64">
        <v>97.2</v>
      </c>
      <c r="AU64" t="s">
        <v>118</v>
      </c>
      <c r="AV64">
        <v>1</v>
      </c>
      <c r="AW64">
        <v>2</v>
      </c>
      <c r="AX64">
        <v>55656138</v>
      </c>
      <c r="AY64">
        <v>1</v>
      </c>
      <c r="AZ64">
        <v>0</v>
      </c>
      <c r="BA64">
        <v>68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Y64*Source!I82</f>
        <v>3.3533999999999997</v>
      </c>
      <c r="CY64">
        <f>AD64</f>
        <v>318.51</v>
      </c>
      <c r="CZ64">
        <f>AH64</f>
        <v>8.53</v>
      </c>
      <c r="DA64">
        <f>AL64</f>
        <v>37.34</v>
      </c>
      <c r="DB64">
        <f>ROUND((ROUND(AT64*CZ64,2)*ROUND(1.15,7)),2)</f>
        <v>953.49</v>
      </c>
      <c r="DC64">
        <f>ROUND((ROUND(AT64*AG64,2)*ROUND(1.15,7)),2)</f>
        <v>0</v>
      </c>
    </row>
    <row r="65" spans="1:107" ht="12.75">
      <c r="A65">
        <f>ROW(Source!A82)</f>
        <v>82</v>
      </c>
      <c r="B65">
        <v>55655399</v>
      </c>
      <c r="C65">
        <v>55656137</v>
      </c>
      <c r="D65">
        <v>53630257</v>
      </c>
      <c r="E65">
        <v>70</v>
      </c>
      <c r="F65">
        <v>1</v>
      </c>
      <c r="G65">
        <v>1</v>
      </c>
      <c r="H65">
        <v>1</v>
      </c>
      <c r="I65" t="s">
        <v>277</v>
      </c>
      <c r="K65" t="s">
        <v>278</v>
      </c>
      <c r="L65">
        <v>1191</v>
      </c>
      <c r="N65">
        <v>1013</v>
      </c>
      <c r="O65" t="s">
        <v>270</v>
      </c>
      <c r="P65" t="s">
        <v>270</v>
      </c>
      <c r="Q65">
        <v>1</v>
      </c>
      <c r="W65">
        <v>0</v>
      </c>
      <c r="X65">
        <v>-1417349443</v>
      </c>
      <c r="Y65">
        <v>0.3375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1</v>
      </c>
      <c r="AJ65">
        <v>1</v>
      </c>
      <c r="AK65">
        <v>37.34</v>
      </c>
      <c r="AL65">
        <v>1</v>
      </c>
      <c r="AN65">
        <v>0</v>
      </c>
      <c r="AO65">
        <v>1</v>
      </c>
      <c r="AP65">
        <v>1</v>
      </c>
      <c r="AQ65">
        <v>0</v>
      </c>
      <c r="AR65">
        <v>0</v>
      </c>
      <c r="AT65">
        <v>0.27</v>
      </c>
      <c r="AU65" t="s">
        <v>117</v>
      </c>
      <c r="AV65">
        <v>2</v>
      </c>
      <c r="AW65">
        <v>2</v>
      </c>
      <c r="AX65">
        <v>55656139</v>
      </c>
      <c r="AY65">
        <v>1</v>
      </c>
      <c r="AZ65">
        <v>0</v>
      </c>
      <c r="BA65">
        <v>69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Y65*Source!I82</f>
        <v>0.010125</v>
      </c>
      <c r="CY65">
        <f>AD65</f>
        <v>0</v>
      </c>
      <c r="CZ65">
        <f>AH65</f>
        <v>0</v>
      </c>
      <c r="DA65">
        <f>AL65</f>
        <v>1</v>
      </c>
      <c r="DB65">
        <f>ROUND((ROUND(AT65*CZ65,2)*ROUND(1.25,7)),2)</f>
        <v>0</v>
      </c>
      <c r="DC65">
        <f>ROUND((ROUND(AT65*AG65,2)*ROUND(1.25,7)),2)</f>
        <v>0</v>
      </c>
    </row>
    <row r="66" spans="1:107" ht="12.75">
      <c r="A66">
        <f>ROW(Source!A82)</f>
        <v>82</v>
      </c>
      <c r="B66">
        <v>55655399</v>
      </c>
      <c r="C66">
        <v>55656137</v>
      </c>
      <c r="D66">
        <v>53791939</v>
      </c>
      <c r="E66">
        <v>1</v>
      </c>
      <c r="F66">
        <v>1</v>
      </c>
      <c r="G66">
        <v>1</v>
      </c>
      <c r="H66">
        <v>2</v>
      </c>
      <c r="I66" t="s">
        <v>290</v>
      </c>
      <c r="J66" t="s">
        <v>291</v>
      </c>
      <c r="K66" t="s">
        <v>292</v>
      </c>
      <c r="L66">
        <v>1367</v>
      </c>
      <c r="N66">
        <v>1011</v>
      </c>
      <c r="O66" t="s">
        <v>282</v>
      </c>
      <c r="P66" t="s">
        <v>282</v>
      </c>
      <c r="Q66">
        <v>1</v>
      </c>
      <c r="W66">
        <v>0</v>
      </c>
      <c r="X66">
        <v>-130837057</v>
      </c>
      <c r="Y66">
        <v>0.25</v>
      </c>
      <c r="AA66">
        <v>0</v>
      </c>
      <c r="AB66">
        <v>1143.94</v>
      </c>
      <c r="AC66">
        <v>504.09</v>
      </c>
      <c r="AD66">
        <v>0</v>
      </c>
      <c r="AE66">
        <v>0</v>
      </c>
      <c r="AF66">
        <v>86.4</v>
      </c>
      <c r="AG66">
        <v>13.5</v>
      </c>
      <c r="AH66">
        <v>0</v>
      </c>
      <c r="AI66">
        <v>1</v>
      </c>
      <c r="AJ66">
        <v>13.24</v>
      </c>
      <c r="AK66">
        <v>37.34</v>
      </c>
      <c r="AL66">
        <v>1</v>
      </c>
      <c r="AN66">
        <v>0</v>
      </c>
      <c r="AO66">
        <v>1</v>
      </c>
      <c r="AP66">
        <v>1</v>
      </c>
      <c r="AQ66">
        <v>0</v>
      </c>
      <c r="AR66">
        <v>0</v>
      </c>
      <c r="AT66">
        <v>0.2</v>
      </c>
      <c r="AU66" t="s">
        <v>117</v>
      </c>
      <c r="AV66">
        <v>0</v>
      </c>
      <c r="AW66">
        <v>2</v>
      </c>
      <c r="AX66">
        <v>55656140</v>
      </c>
      <c r="AY66">
        <v>1</v>
      </c>
      <c r="AZ66">
        <v>0</v>
      </c>
      <c r="BA66">
        <v>70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Y66*Source!I82</f>
        <v>0.0075</v>
      </c>
      <c r="CY66">
        <f>AB66</f>
        <v>1143.94</v>
      </c>
      <c r="CZ66">
        <f>AF66</f>
        <v>86.4</v>
      </c>
      <c r="DA66">
        <f>AJ66</f>
        <v>13.24</v>
      </c>
      <c r="DB66">
        <f>ROUND((ROUND(AT66*CZ66,2)*ROUND(1.25,7)),2)</f>
        <v>21.6</v>
      </c>
      <c r="DC66">
        <f>ROUND((ROUND(AT66*AG66,2)*ROUND(1.25,7)),2)</f>
        <v>3.38</v>
      </c>
    </row>
    <row r="67" spans="1:107" ht="12.75">
      <c r="A67">
        <f>ROW(Source!A82)</f>
        <v>82</v>
      </c>
      <c r="B67">
        <v>55655399</v>
      </c>
      <c r="C67">
        <v>55656137</v>
      </c>
      <c r="D67">
        <v>53792927</v>
      </c>
      <c r="E67">
        <v>1</v>
      </c>
      <c r="F67">
        <v>1</v>
      </c>
      <c r="G67">
        <v>1</v>
      </c>
      <c r="H67">
        <v>2</v>
      </c>
      <c r="I67" t="s">
        <v>304</v>
      </c>
      <c r="J67" t="s">
        <v>305</v>
      </c>
      <c r="K67" t="s">
        <v>306</v>
      </c>
      <c r="L67">
        <v>1367</v>
      </c>
      <c r="N67">
        <v>1011</v>
      </c>
      <c r="O67" t="s">
        <v>282</v>
      </c>
      <c r="P67" t="s">
        <v>282</v>
      </c>
      <c r="Q67">
        <v>1</v>
      </c>
      <c r="W67">
        <v>0</v>
      </c>
      <c r="X67">
        <v>509054691</v>
      </c>
      <c r="Y67">
        <v>0.08750000000000001</v>
      </c>
      <c r="AA67">
        <v>0</v>
      </c>
      <c r="AB67">
        <v>870</v>
      </c>
      <c r="AC67">
        <v>433.14</v>
      </c>
      <c r="AD67">
        <v>0</v>
      </c>
      <c r="AE67">
        <v>0</v>
      </c>
      <c r="AF67">
        <v>65.71</v>
      </c>
      <c r="AG67">
        <v>11.6</v>
      </c>
      <c r="AH67">
        <v>0</v>
      </c>
      <c r="AI67">
        <v>1</v>
      </c>
      <c r="AJ67">
        <v>13.24</v>
      </c>
      <c r="AK67">
        <v>37.34</v>
      </c>
      <c r="AL67">
        <v>1</v>
      </c>
      <c r="AN67">
        <v>0</v>
      </c>
      <c r="AO67">
        <v>1</v>
      </c>
      <c r="AP67">
        <v>1</v>
      </c>
      <c r="AQ67">
        <v>0</v>
      </c>
      <c r="AR67">
        <v>0</v>
      </c>
      <c r="AT67">
        <v>0.07</v>
      </c>
      <c r="AU67" t="s">
        <v>117</v>
      </c>
      <c r="AV67">
        <v>0</v>
      </c>
      <c r="AW67">
        <v>2</v>
      </c>
      <c r="AX67">
        <v>55656141</v>
      </c>
      <c r="AY67">
        <v>1</v>
      </c>
      <c r="AZ67">
        <v>0</v>
      </c>
      <c r="BA67">
        <v>71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Y67*Source!I82</f>
        <v>0.002625</v>
      </c>
      <c r="CY67">
        <f>AB67</f>
        <v>870</v>
      </c>
      <c r="CZ67">
        <f>AF67</f>
        <v>65.71</v>
      </c>
      <c r="DA67">
        <f>AJ67</f>
        <v>13.24</v>
      </c>
      <c r="DB67">
        <f>ROUND((ROUND(AT67*CZ67,2)*ROUND(1.25,7)),2)</f>
        <v>5.75</v>
      </c>
      <c r="DC67">
        <f>ROUND((ROUND(AT67*AG67,2)*ROUND(1.25,7)),2)</f>
        <v>1.01</v>
      </c>
    </row>
    <row r="68" spans="1:107" ht="12.75">
      <c r="A68">
        <f>ROW(Source!A82)</f>
        <v>82</v>
      </c>
      <c r="B68">
        <v>55655399</v>
      </c>
      <c r="C68">
        <v>55656137</v>
      </c>
      <c r="D68">
        <v>53644957</v>
      </c>
      <c r="E68">
        <v>1</v>
      </c>
      <c r="F68">
        <v>1</v>
      </c>
      <c r="G68">
        <v>1</v>
      </c>
      <c r="H68">
        <v>3</v>
      </c>
      <c r="I68" t="s">
        <v>312</v>
      </c>
      <c r="J68" t="s">
        <v>313</v>
      </c>
      <c r="K68" t="s">
        <v>314</v>
      </c>
      <c r="L68">
        <v>1348</v>
      </c>
      <c r="N68">
        <v>1009</v>
      </c>
      <c r="O68" t="s">
        <v>129</v>
      </c>
      <c r="P68" t="s">
        <v>129</v>
      </c>
      <c r="Q68">
        <v>1000</v>
      </c>
      <c r="W68">
        <v>0</v>
      </c>
      <c r="X68">
        <v>-384732532</v>
      </c>
      <c r="Y68">
        <v>0.004</v>
      </c>
      <c r="AA68">
        <v>56952</v>
      </c>
      <c r="AB68">
        <v>0</v>
      </c>
      <c r="AC68">
        <v>0</v>
      </c>
      <c r="AD68">
        <v>0</v>
      </c>
      <c r="AE68">
        <v>8475</v>
      </c>
      <c r="AF68">
        <v>0</v>
      </c>
      <c r="AG68">
        <v>0</v>
      </c>
      <c r="AH68">
        <v>0</v>
      </c>
      <c r="AI68">
        <v>6.72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T68">
        <v>0.004</v>
      </c>
      <c r="AV68">
        <v>0</v>
      </c>
      <c r="AW68">
        <v>2</v>
      </c>
      <c r="AX68">
        <v>55656142</v>
      </c>
      <c r="AY68">
        <v>1</v>
      </c>
      <c r="AZ68">
        <v>0</v>
      </c>
      <c r="BA68">
        <v>72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Y68*Source!I82</f>
        <v>0.00012</v>
      </c>
      <c r="CY68">
        <f>AA68</f>
        <v>56952</v>
      </c>
      <c r="CZ68">
        <f>AE68</f>
        <v>8475</v>
      </c>
      <c r="DA68">
        <f>AI68</f>
        <v>6.72</v>
      </c>
      <c r="DB68">
        <f>ROUND(ROUND(AT68*CZ68,2),2)</f>
        <v>33.9</v>
      </c>
      <c r="DC68">
        <f>ROUND(ROUND(AT68*AG68,2),2)</f>
        <v>0</v>
      </c>
    </row>
    <row r="69" spans="1:107" ht="12.75">
      <c r="A69">
        <f>ROW(Source!A82)</f>
        <v>82</v>
      </c>
      <c r="B69">
        <v>55655399</v>
      </c>
      <c r="C69">
        <v>55656137</v>
      </c>
      <c r="D69">
        <v>53662057</v>
      </c>
      <c r="E69">
        <v>1</v>
      </c>
      <c r="F69">
        <v>1</v>
      </c>
      <c r="G69">
        <v>1</v>
      </c>
      <c r="H69">
        <v>3</v>
      </c>
      <c r="I69" t="s">
        <v>315</v>
      </c>
      <c r="J69" t="s">
        <v>316</v>
      </c>
      <c r="K69" t="s">
        <v>317</v>
      </c>
      <c r="L69">
        <v>1348</v>
      </c>
      <c r="N69">
        <v>1009</v>
      </c>
      <c r="O69" t="s">
        <v>129</v>
      </c>
      <c r="P69" t="s">
        <v>129</v>
      </c>
      <c r="Q69">
        <v>1000</v>
      </c>
      <c r="W69">
        <v>0</v>
      </c>
      <c r="X69">
        <v>-581832824</v>
      </c>
      <c r="Y69">
        <v>0.012</v>
      </c>
      <c r="AA69">
        <v>55036.8</v>
      </c>
      <c r="AB69">
        <v>0</v>
      </c>
      <c r="AC69">
        <v>0</v>
      </c>
      <c r="AD69">
        <v>0</v>
      </c>
      <c r="AE69">
        <v>8190</v>
      </c>
      <c r="AF69">
        <v>0</v>
      </c>
      <c r="AG69">
        <v>0</v>
      </c>
      <c r="AH69">
        <v>0</v>
      </c>
      <c r="AI69">
        <v>6.72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T69">
        <v>0.012</v>
      </c>
      <c r="AV69">
        <v>0</v>
      </c>
      <c r="AW69">
        <v>2</v>
      </c>
      <c r="AX69">
        <v>55656143</v>
      </c>
      <c r="AY69">
        <v>1</v>
      </c>
      <c r="AZ69">
        <v>0</v>
      </c>
      <c r="BA69">
        <v>73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Y69*Source!I82</f>
        <v>0.00035999999999999997</v>
      </c>
      <c r="CY69">
        <f>AA69</f>
        <v>55036.8</v>
      </c>
      <c r="CZ69">
        <f>AE69</f>
        <v>8190</v>
      </c>
      <c r="DA69">
        <f>AI69</f>
        <v>6.72</v>
      </c>
      <c r="DB69">
        <f>ROUND(ROUND(AT69*CZ69,2),2)</f>
        <v>98.28</v>
      </c>
      <c r="DC69">
        <f>ROUND(ROUND(AT69*AG69,2),2)</f>
        <v>0</v>
      </c>
    </row>
    <row r="70" spans="1:107" ht="12.75">
      <c r="A70">
        <f>ROW(Source!A82)</f>
        <v>82</v>
      </c>
      <c r="B70">
        <v>55655399</v>
      </c>
      <c r="C70">
        <v>55656137</v>
      </c>
      <c r="D70">
        <v>53662302</v>
      </c>
      <c r="E70">
        <v>1</v>
      </c>
      <c r="F70">
        <v>1</v>
      </c>
      <c r="G70">
        <v>1</v>
      </c>
      <c r="H70">
        <v>3</v>
      </c>
      <c r="I70" t="s">
        <v>318</v>
      </c>
      <c r="J70" t="s">
        <v>319</v>
      </c>
      <c r="K70" t="s">
        <v>320</v>
      </c>
      <c r="L70">
        <v>1348</v>
      </c>
      <c r="N70">
        <v>1009</v>
      </c>
      <c r="O70" t="s">
        <v>129</v>
      </c>
      <c r="P70" t="s">
        <v>129</v>
      </c>
      <c r="Q70">
        <v>1000</v>
      </c>
      <c r="W70">
        <v>0</v>
      </c>
      <c r="X70">
        <v>-509681559</v>
      </c>
      <c r="Y70">
        <v>0.57</v>
      </c>
      <c r="AA70">
        <v>75264</v>
      </c>
      <c r="AB70">
        <v>0</v>
      </c>
      <c r="AC70">
        <v>0</v>
      </c>
      <c r="AD70">
        <v>0</v>
      </c>
      <c r="AE70">
        <v>11200</v>
      </c>
      <c r="AF70">
        <v>0</v>
      </c>
      <c r="AG70">
        <v>0</v>
      </c>
      <c r="AH70">
        <v>0</v>
      </c>
      <c r="AI70">
        <v>6.72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T70">
        <v>0.57</v>
      </c>
      <c r="AV70">
        <v>0</v>
      </c>
      <c r="AW70">
        <v>2</v>
      </c>
      <c r="AX70">
        <v>55656144</v>
      </c>
      <c r="AY70">
        <v>1</v>
      </c>
      <c r="AZ70">
        <v>0</v>
      </c>
      <c r="BA70">
        <v>74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Y70*Source!I82</f>
        <v>0.017099999999999997</v>
      </c>
      <c r="CY70">
        <f>AA70</f>
        <v>75264</v>
      </c>
      <c r="CZ70">
        <f>AE70</f>
        <v>11200</v>
      </c>
      <c r="DA70">
        <f>AI70</f>
        <v>6.72</v>
      </c>
      <c r="DB70">
        <f>ROUND(ROUND(AT70*CZ70,2),2)</f>
        <v>6384</v>
      </c>
      <c r="DC70">
        <f>ROUND(ROUND(AT70*AG70,2),2)</f>
        <v>0</v>
      </c>
    </row>
    <row r="71" spans="1:107" ht="12.75">
      <c r="A71">
        <f>ROW(Source!A83)</f>
        <v>83</v>
      </c>
      <c r="B71">
        <v>55655398</v>
      </c>
      <c r="C71">
        <v>55655718</v>
      </c>
      <c r="D71">
        <v>49459419</v>
      </c>
      <c r="E71">
        <v>58</v>
      </c>
      <c r="F71">
        <v>1</v>
      </c>
      <c r="G71">
        <v>1</v>
      </c>
      <c r="H71">
        <v>1</v>
      </c>
      <c r="I71" t="s">
        <v>321</v>
      </c>
      <c r="K71" t="s">
        <v>322</v>
      </c>
      <c r="L71">
        <v>1191</v>
      </c>
      <c r="N71">
        <v>1013</v>
      </c>
      <c r="O71" t="s">
        <v>270</v>
      </c>
      <c r="P71" t="s">
        <v>270</v>
      </c>
      <c r="Q71">
        <v>1</v>
      </c>
      <c r="W71">
        <v>0</v>
      </c>
      <c r="X71">
        <v>-1081351934</v>
      </c>
      <c r="Y71">
        <v>16.514</v>
      </c>
      <c r="AA71">
        <v>0</v>
      </c>
      <c r="AB71">
        <v>0</v>
      </c>
      <c r="AC71">
        <v>0</v>
      </c>
      <c r="AD71">
        <v>9.4</v>
      </c>
      <c r="AE71">
        <v>0</v>
      </c>
      <c r="AF71">
        <v>0</v>
      </c>
      <c r="AG71">
        <v>0</v>
      </c>
      <c r="AH71">
        <v>9.4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1</v>
      </c>
      <c r="AQ71">
        <v>0</v>
      </c>
      <c r="AR71">
        <v>0</v>
      </c>
      <c r="AT71">
        <v>14.36</v>
      </c>
      <c r="AU71" t="s">
        <v>118</v>
      </c>
      <c r="AV71">
        <v>1</v>
      </c>
      <c r="AW71">
        <v>2</v>
      </c>
      <c r="AX71">
        <v>55655727</v>
      </c>
      <c r="AY71">
        <v>1</v>
      </c>
      <c r="AZ71">
        <v>0</v>
      </c>
      <c r="BA71">
        <v>75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Y71*Source!I83</f>
        <v>38.642759999999996</v>
      </c>
      <c r="CY71">
        <f>AD71</f>
        <v>9.4</v>
      </c>
      <c r="CZ71">
        <f>AH71</f>
        <v>9.4</v>
      </c>
      <c r="DA71">
        <f>AL71</f>
        <v>1</v>
      </c>
      <c r="DB71">
        <f>ROUND((ROUND(AT71*CZ71,2)*ROUND(1.15,7)),2)</f>
        <v>155.23</v>
      </c>
      <c r="DC71">
        <f>ROUND((ROUND(AT71*AG71,2)*ROUND(1.15,7)),2)</f>
        <v>0</v>
      </c>
    </row>
    <row r="72" spans="1:107" ht="12.75">
      <c r="A72">
        <f>ROW(Source!A83)</f>
        <v>83</v>
      </c>
      <c r="B72">
        <v>55655398</v>
      </c>
      <c r="C72">
        <v>55655718</v>
      </c>
      <c r="D72">
        <v>49459566</v>
      </c>
      <c r="E72">
        <v>58</v>
      </c>
      <c r="F72">
        <v>1</v>
      </c>
      <c r="G72">
        <v>1</v>
      </c>
      <c r="H72">
        <v>1</v>
      </c>
      <c r="I72" t="s">
        <v>289</v>
      </c>
      <c r="K72" t="s">
        <v>278</v>
      </c>
      <c r="L72">
        <v>1191</v>
      </c>
      <c r="N72">
        <v>1013</v>
      </c>
      <c r="O72" t="s">
        <v>270</v>
      </c>
      <c r="P72" t="s">
        <v>270</v>
      </c>
      <c r="Q72">
        <v>1</v>
      </c>
      <c r="W72">
        <v>0</v>
      </c>
      <c r="X72">
        <v>-1173606021</v>
      </c>
      <c r="Y72">
        <v>0.3625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1</v>
      </c>
      <c r="AQ72">
        <v>0</v>
      </c>
      <c r="AR72">
        <v>0</v>
      </c>
      <c r="AT72">
        <v>0.29</v>
      </c>
      <c r="AU72" t="s">
        <v>117</v>
      </c>
      <c r="AV72">
        <v>2</v>
      </c>
      <c r="AW72">
        <v>2</v>
      </c>
      <c r="AX72">
        <v>55655728</v>
      </c>
      <c r="AY72">
        <v>1</v>
      </c>
      <c r="AZ72">
        <v>0</v>
      </c>
      <c r="BA72">
        <v>76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Y72*Source!I83</f>
        <v>0.84825</v>
      </c>
      <c r="CY72">
        <f>AD72</f>
        <v>0</v>
      </c>
      <c r="CZ72">
        <f>AH72</f>
        <v>0</v>
      </c>
      <c r="DA72">
        <f>AL72</f>
        <v>1</v>
      </c>
      <c r="DB72">
        <f>ROUND((ROUND(AT72*CZ72,2)*ROUND(1.25,7)),2)</f>
        <v>0</v>
      </c>
      <c r="DC72">
        <f>ROUND((ROUND(AT72*AG72,2)*ROUND(1.25,7)),2)</f>
        <v>0</v>
      </c>
    </row>
    <row r="73" spans="1:107" ht="12.75">
      <c r="A73">
        <f>ROW(Source!A83)</f>
        <v>83</v>
      </c>
      <c r="B73">
        <v>55655398</v>
      </c>
      <c r="C73">
        <v>55655718</v>
      </c>
      <c r="D73">
        <v>49620286</v>
      </c>
      <c r="E73">
        <v>1</v>
      </c>
      <c r="F73">
        <v>1</v>
      </c>
      <c r="G73">
        <v>1</v>
      </c>
      <c r="H73">
        <v>2</v>
      </c>
      <c r="I73" t="s">
        <v>290</v>
      </c>
      <c r="J73" t="s">
        <v>291</v>
      </c>
      <c r="K73" t="s">
        <v>292</v>
      </c>
      <c r="L73">
        <v>1368</v>
      </c>
      <c r="N73">
        <v>1011</v>
      </c>
      <c r="O73" t="s">
        <v>274</v>
      </c>
      <c r="P73" t="s">
        <v>274</v>
      </c>
      <c r="Q73">
        <v>1</v>
      </c>
      <c r="W73">
        <v>0</v>
      </c>
      <c r="X73">
        <v>-1554407757</v>
      </c>
      <c r="Y73">
        <v>0.1875</v>
      </c>
      <c r="AA73">
        <v>0</v>
      </c>
      <c r="AB73">
        <v>86.4</v>
      </c>
      <c r="AC73">
        <v>13.5</v>
      </c>
      <c r="AD73">
        <v>0</v>
      </c>
      <c r="AE73">
        <v>0</v>
      </c>
      <c r="AF73">
        <v>86.4</v>
      </c>
      <c r="AG73">
        <v>13.5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1</v>
      </c>
      <c r="AQ73">
        <v>0</v>
      </c>
      <c r="AR73">
        <v>0</v>
      </c>
      <c r="AT73">
        <v>0.15</v>
      </c>
      <c r="AU73" t="s">
        <v>117</v>
      </c>
      <c r="AV73">
        <v>0</v>
      </c>
      <c r="AW73">
        <v>2</v>
      </c>
      <c r="AX73">
        <v>55655729</v>
      </c>
      <c r="AY73">
        <v>1</v>
      </c>
      <c r="AZ73">
        <v>0</v>
      </c>
      <c r="BA73">
        <v>77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Y73*Source!I83</f>
        <v>0.43875</v>
      </c>
      <c r="CY73">
        <f>AB73</f>
        <v>86.4</v>
      </c>
      <c r="CZ73">
        <f>AF73</f>
        <v>86.4</v>
      </c>
      <c r="DA73">
        <f>AJ73</f>
        <v>1</v>
      </c>
      <c r="DB73">
        <f>ROUND((ROUND(AT73*CZ73,2)*ROUND(1.25,7)),2)</f>
        <v>16.2</v>
      </c>
      <c r="DC73">
        <f>ROUND((ROUND(AT73*AG73,2)*ROUND(1.25,7)),2)</f>
        <v>2.54</v>
      </c>
    </row>
    <row r="74" spans="1:107" ht="12.75">
      <c r="A74">
        <f>ROW(Source!A83)</f>
        <v>83</v>
      </c>
      <c r="B74">
        <v>55655398</v>
      </c>
      <c r="C74">
        <v>55655718</v>
      </c>
      <c r="D74">
        <v>49620344</v>
      </c>
      <c r="E74">
        <v>1</v>
      </c>
      <c r="F74">
        <v>1</v>
      </c>
      <c r="G74">
        <v>1</v>
      </c>
      <c r="H74">
        <v>2</v>
      </c>
      <c r="I74" t="s">
        <v>323</v>
      </c>
      <c r="J74" t="s">
        <v>324</v>
      </c>
      <c r="K74" t="s">
        <v>325</v>
      </c>
      <c r="L74">
        <v>1368</v>
      </c>
      <c r="N74">
        <v>1011</v>
      </c>
      <c r="O74" t="s">
        <v>274</v>
      </c>
      <c r="P74" t="s">
        <v>274</v>
      </c>
      <c r="Q74">
        <v>1</v>
      </c>
      <c r="W74">
        <v>0</v>
      </c>
      <c r="X74">
        <v>30216853</v>
      </c>
      <c r="Y74">
        <v>0.0625</v>
      </c>
      <c r="AA74">
        <v>0</v>
      </c>
      <c r="AB74">
        <v>115.4</v>
      </c>
      <c r="AC74">
        <v>13.5</v>
      </c>
      <c r="AD74">
        <v>0</v>
      </c>
      <c r="AE74">
        <v>0</v>
      </c>
      <c r="AF74">
        <v>115.4</v>
      </c>
      <c r="AG74">
        <v>13.5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1</v>
      </c>
      <c r="AQ74">
        <v>0</v>
      </c>
      <c r="AR74">
        <v>0</v>
      </c>
      <c r="AT74">
        <v>0.05</v>
      </c>
      <c r="AU74" t="s">
        <v>117</v>
      </c>
      <c r="AV74">
        <v>0</v>
      </c>
      <c r="AW74">
        <v>2</v>
      </c>
      <c r="AX74">
        <v>55655730</v>
      </c>
      <c r="AY74">
        <v>1</v>
      </c>
      <c r="AZ74">
        <v>0</v>
      </c>
      <c r="BA74">
        <v>78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Y74*Source!I83</f>
        <v>0.14625</v>
      </c>
      <c r="CY74">
        <f>AB74</f>
        <v>115.4</v>
      </c>
      <c r="CZ74">
        <f>AF74</f>
        <v>115.4</v>
      </c>
      <c r="DA74">
        <f>AJ74</f>
        <v>1</v>
      </c>
      <c r="DB74">
        <f>ROUND((ROUND(AT74*CZ74,2)*ROUND(1.25,7)),2)</f>
        <v>7.21</v>
      </c>
      <c r="DC74">
        <f>ROUND((ROUND(AT74*AG74,2)*ROUND(1.25,7)),2)</f>
        <v>0.85</v>
      </c>
    </row>
    <row r="75" spans="1:107" ht="12.75">
      <c r="A75">
        <f>ROW(Source!A83)</f>
        <v>83</v>
      </c>
      <c r="B75">
        <v>55655398</v>
      </c>
      <c r="C75">
        <v>55655718</v>
      </c>
      <c r="D75">
        <v>49621268</v>
      </c>
      <c r="E75">
        <v>1</v>
      </c>
      <c r="F75">
        <v>1</v>
      </c>
      <c r="G75">
        <v>1</v>
      </c>
      <c r="H75">
        <v>2</v>
      </c>
      <c r="I75" t="s">
        <v>304</v>
      </c>
      <c r="J75" t="s">
        <v>305</v>
      </c>
      <c r="K75" t="s">
        <v>306</v>
      </c>
      <c r="L75">
        <v>1368</v>
      </c>
      <c r="N75">
        <v>1011</v>
      </c>
      <c r="O75" t="s">
        <v>274</v>
      </c>
      <c r="P75" t="s">
        <v>274</v>
      </c>
      <c r="Q75">
        <v>1</v>
      </c>
      <c r="W75">
        <v>0</v>
      </c>
      <c r="X75">
        <v>1862470278</v>
      </c>
      <c r="Y75">
        <v>0.11249999999999999</v>
      </c>
      <c r="AA75">
        <v>0</v>
      </c>
      <c r="AB75">
        <v>65.71</v>
      </c>
      <c r="AC75">
        <v>11.6</v>
      </c>
      <c r="AD75">
        <v>0</v>
      </c>
      <c r="AE75">
        <v>0</v>
      </c>
      <c r="AF75">
        <v>65.71</v>
      </c>
      <c r="AG75">
        <v>11.6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1</v>
      </c>
      <c r="AQ75">
        <v>0</v>
      </c>
      <c r="AR75">
        <v>0</v>
      </c>
      <c r="AT75">
        <v>0.09</v>
      </c>
      <c r="AU75" t="s">
        <v>117</v>
      </c>
      <c r="AV75">
        <v>0</v>
      </c>
      <c r="AW75">
        <v>2</v>
      </c>
      <c r="AX75">
        <v>55655731</v>
      </c>
      <c r="AY75">
        <v>1</v>
      </c>
      <c r="AZ75">
        <v>0</v>
      </c>
      <c r="BA75">
        <v>79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Y75*Source!I83</f>
        <v>0.26325</v>
      </c>
      <c r="CY75">
        <f>AB75</f>
        <v>65.71</v>
      </c>
      <c r="CZ75">
        <f>AF75</f>
        <v>65.71</v>
      </c>
      <c r="DA75">
        <f>AJ75</f>
        <v>1</v>
      </c>
      <c r="DB75">
        <f>ROUND((ROUND(AT75*CZ75,2)*ROUND(1.25,7)),2)</f>
        <v>7.39</v>
      </c>
      <c r="DC75">
        <f>ROUND((ROUND(AT75*AG75,2)*ROUND(1.25,7)),2)</f>
        <v>1.3</v>
      </c>
    </row>
    <row r="76" spans="1:107" ht="12.75">
      <c r="A76">
        <f>ROW(Source!A83)</f>
        <v>83</v>
      </c>
      <c r="B76">
        <v>55655398</v>
      </c>
      <c r="C76">
        <v>55655718</v>
      </c>
      <c r="D76">
        <v>49470012</v>
      </c>
      <c r="E76">
        <v>1</v>
      </c>
      <c r="F76">
        <v>1</v>
      </c>
      <c r="G76">
        <v>1</v>
      </c>
      <c r="H76">
        <v>3</v>
      </c>
      <c r="I76" t="s">
        <v>326</v>
      </c>
      <c r="J76" t="s">
        <v>327</v>
      </c>
      <c r="K76" t="s">
        <v>328</v>
      </c>
      <c r="L76">
        <v>1346</v>
      </c>
      <c r="N76">
        <v>1009</v>
      </c>
      <c r="O76" t="s">
        <v>329</v>
      </c>
      <c r="P76" t="s">
        <v>329</v>
      </c>
      <c r="Q76">
        <v>1</v>
      </c>
      <c r="W76">
        <v>0</v>
      </c>
      <c r="X76">
        <v>795665641</v>
      </c>
      <c r="Y76">
        <v>29.94</v>
      </c>
      <c r="AA76">
        <v>6.09</v>
      </c>
      <c r="AB76">
        <v>0</v>
      </c>
      <c r="AC76">
        <v>0</v>
      </c>
      <c r="AD76">
        <v>0</v>
      </c>
      <c r="AE76">
        <v>6.09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T76">
        <v>29.94</v>
      </c>
      <c r="AV76">
        <v>0</v>
      </c>
      <c r="AW76">
        <v>2</v>
      </c>
      <c r="AX76">
        <v>55655732</v>
      </c>
      <c r="AY76">
        <v>1</v>
      </c>
      <c r="AZ76">
        <v>0</v>
      </c>
      <c r="BA76">
        <v>80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Y76*Source!I83</f>
        <v>70.0596</v>
      </c>
      <c r="CY76">
        <f>AA76</f>
        <v>6.09</v>
      </c>
      <c r="CZ76">
        <f>AE76</f>
        <v>6.09</v>
      </c>
      <c r="DA76">
        <f>AI76</f>
        <v>1</v>
      </c>
      <c r="DB76">
        <f>ROUND(ROUND(AT76*CZ76,2),2)</f>
        <v>182.33</v>
      </c>
      <c r="DC76">
        <f>ROUND(ROUND(AT76*AG76,2),2)</f>
        <v>0</v>
      </c>
    </row>
    <row r="77" spans="1:107" ht="12.75">
      <c r="A77">
        <f>ROW(Source!A83)</f>
        <v>83</v>
      </c>
      <c r="B77">
        <v>55655398</v>
      </c>
      <c r="C77">
        <v>55655718</v>
      </c>
      <c r="D77">
        <v>53668865</v>
      </c>
      <c r="E77">
        <v>1</v>
      </c>
      <c r="F77">
        <v>1</v>
      </c>
      <c r="G77">
        <v>1</v>
      </c>
      <c r="H77">
        <v>3</v>
      </c>
      <c r="I77" t="s">
        <v>157</v>
      </c>
      <c r="J77" t="s">
        <v>159</v>
      </c>
      <c r="K77" t="s">
        <v>158</v>
      </c>
      <c r="L77">
        <v>1327</v>
      </c>
      <c r="N77">
        <v>1005</v>
      </c>
      <c r="O77" t="s">
        <v>154</v>
      </c>
      <c r="P77" t="s">
        <v>154</v>
      </c>
      <c r="Q77">
        <v>1</v>
      </c>
      <c r="W77">
        <v>0</v>
      </c>
      <c r="X77">
        <v>1866959067</v>
      </c>
      <c r="Y77">
        <v>114</v>
      </c>
      <c r="AA77">
        <v>25.09</v>
      </c>
      <c r="AB77">
        <v>0</v>
      </c>
      <c r="AC77">
        <v>0</v>
      </c>
      <c r="AD77">
        <v>0</v>
      </c>
      <c r="AE77">
        <v>25.09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0</v>
      </c>
      <c r="AP77">
        <v>0</v>
      </c>
      <c r="AQ77">
        <v>0</v>
      </c>
      <c r="AR77">
        <v>0</v>
      </c>
      <c r="AT77">
        <v>114</v>
      </c>
      <c r="AV77">
        <v>0</v>
      </c>
      <c r="AW77">
        <v>1</v>
      </c>
      <c r="AX77">
        <v>-1</v>
      </c>
      <c r="AY77">
        <v>0</v>
      </c>
      <c r="AZ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Y77*Source!I83</f>
        <v>266.76</v>
      </c>
      <c r="CY77">
        <f>AA77</f>
        <v>25.09</v>
      </c>
      <c r="CZ77">
        <f>AE77</f>
        <v>25.09</v>
      </c>
      <c r="DA77">
        <f>AI77</f>
        <v>1</v>
      </c>
      <c r="DB77">
        <f>ROUND(ROUND(AT77*CZ77,2),2)</f>
        <v>2860.26</v>
      </c>
      <c r="DC77">
        <f>ROUND(ROUND(AT77*AG77,2),2)</f>
        <v>0</v>
      </c>
    </row>
    <row r="78" spans="1:107" ht="12.75">
      <c r="A78">
        <f>ROW(Source!A83)</f>
        <v>83</v>
      </c>
      <c r="B78">
        <v>55655398</v>
      </c>
      <c r="C78">
        <v>55655718</v>
      </c>
      <c r="D78">
        <v>53668866</v>
      </c>
      <c r="E78">
        <v>1</v>
      </c>
      <c r="F78">
        <v>1</v>
      </c>
      <c r="G78">
        <v>1</v>
      </c>
      <c r="H78">
        <v>3</v>
      </c>
      <c r="I78" t="s">
        <v>152</v>
      </c>
      <c r="J78" t="s">
        <v>155</v>
      </c>
      <c r="K78" t="s">
        <v>153</v>
      </c>
      <c r="L78">
        <v>1327</v>
      </c>
      <c r="N78">
        <v>1005</v>
      </c>
      <c r="O78" t="s">
        <v>154</v>
      </c>
      <c r="P78" t="s">
        <v>154</v>
      </c>
      <c r="Q78">
        <v>1</v>
      </c>
      <c r="W78">
        <v>0</v>
      </c>
      <c r="X78">
        <v>-211967687</v>
      </c>
      <c r="Y78">
        <v>116</v>
      </c>
      <c r="AA78">
        <v>23.06</v>
      </c>
      <c r="AB78">
        <v>0</v>
      </c>
      <c r="AC78">
        <v>0</v>
      </c>
      <c r="AD78">
        <v>0</v>
      </c>
      <c r="AE78">
        <v>23.06</v>
      </c>
      <c r="AF78">
        <v>0</v>
      </c>
      <c r="AG78">
        <v>0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0</v>
      </c>
      <c r="AP78">
        <v>0</v>
      </c>
      <c r="AQ78">
        <v>0</v>
      </c>
      <c r="AR78">
        <v>0</v>
      </c>
      <c r="AT78">
        <v>116</v>
      </c>
      <c r="AV78">
        <v>0</v>
      </c>
      <c r="AW78">
        <v>1</v>
      </c>
      <c r="AX78">
        <v>-1</v>
      </c>
      <c r="AY78">
        <v>0</v>
      </c>
      <c r="AZ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Y78*Source!I83</f>
        <v>271.44</v>
      </c>
      <c r="CY78">
        <f>AA78</f>
        <v>23.06</v>
      </c>
      <c r="CZ78">
        <f>AE78</f>
        <v>23.06</v>
      </c>
      <c r="DA78">
        <f>AI78</f>
        <v>1</v>
      </c>
      <c r="DB78">
        <f>ROUND(ROUND(AT78*CZ78,2),2)</f>
        <v>2674.96</v>
      </c>
      <c r="DC78">
        <f>ROUND(ROUND(AT78*AG78,2),2)</f>
        <v>0</v>
      </c>
    </row>
    <row r="79" spans="1:107" ht="12.75">
      <c r="A79">
        <f>ROW(Source!A84)</f>
        <v>84</v>
      </c>
      <c r="B79">
        <v>55655399</v>
      </c>
      <c r="C79">
        <v>55655718</v>
      </c>
      <c r="D79">
        <v>49459419</v>
      </c>
      <c r="E79">
        <v>58</v>
      </c>
      <c r="F79">
        <v>1</v>
      </c>
      <c r="G79">
        <v>1</v>
      </c>
      <c r="H79">
        <v>1</v>
      </c>
      <c r="I79" t="s">
        <v>321</v>
      </c>
      <c r="K79" t="s">
        <v>322</v>
      </c>
      <c r="L79">
        <v>1191</v>
      </c>
      <c r="N79">
        <v>1013</v>
      </c>
      <c r="O79" t="s">
        <v>270</v>
      </c>
      <c r="P79" t="s">
        <v>270</v>
      </c>
      <c r="Q79">
        <v>1</v>
      </c>
      <c r="W79">
        <v>0</v>
      </c>
      <c r="X79">
        <v>-1081351934</v>
      </c>
      <c r="Y79">
        <v>16.514</v>
      </c>
      <c r="AA79">
        <v>0</v>
      </c>
      <c r="AB79">
        <v>0</v>
      </c>
      <c r="AC79">
        <v>0</v>
      </c>
      <c r="AD79">
        <v>351</v>
      </c>
      <c r="AE79">
        <v>0</v>
      </c>
      <c r="AF79">
        <v>0</v>
      </c>
      <c r="AG79">
        <v>0</v>
      </c>
      <c r="AH79">
        <v>9.4</v>
      </c>
      <c r="AI79">
        <v>1</v>
      </c>
      <c r="AJ79">
        <v>1</v>
      </c>
      <c r="AK79">
        <v>1</v>
      </c>
      <c r="AL79">
        <v>37.34</v>
      </c>
      <c r="AN79">
        <v>0</v>
      </c>
      <c r="AO79">
        <v>1</v>
      </c>
      <c r="AP79">
        <v>1</v>
      </c>
      <c r="AQ79">
        <v>0</v>
      </c>
      <c r="AR79">
        <v>0</v>
      </c>
      <c r="AT79">
        <v>14.36</v>
      </c>
      <c r="AU79" t="s">
        <v>118</v>
      </c>
      <c r="AV79">
        <v>1</v>
      </c>
      <c r="AW79">
        <v>2</v>
      </c>
      <c r="AX79">
        <v>55655727</v>
      </c>
      <c r="AY79">
        <v>1</v>
      </c>
      <c r="AZ79">
        <v>0</v>
      </c>
      <c r="BA79">
        <v>83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Y79*Source!I84</f>
        <v>38.642759999999996</v>
      </c>
      <c r="CY79">
        <f>AD79</f>
        <v>351</v>
      </c>
      <c r="CZ79">
        <f>AH79</f>
        <v>9.4</v>
      </c>
      <c r="DA79">
        <f>AL79</f>
        <v>37.34</v>
      </c>
      <c r="DB79">
        <f>ROUND((ROUND(AT79*CZ79,2)*ROUND(1.15,7)),2)</f>
        <v>155.23</v>
      </c>
      <c r="DC79">
        <f>ROUND((ROUND(AT79*AG79,2)*ROUND(1.15,7)),2)</f>
        <v>0</v>
      </c>
    </row>
    <row r="80" spans="1:107" ht="12.75">
      <c r="A80">
        <f>ROW(Source!A84)</f>
        <v>84</v>
      </c>
      <c r="B80">
        <v>55655399</v>
      </c>
      <c r="C80">
        <v>55655718</v>
      </c>
      <c r="D80">
        <v>49459566</v>
      </c>
      <c r="E80">
        <v>58</v>
      </c>
      <c r="F80">
        <v>1</v>
      </c>
      <c r="G80">
        <v>1</v>
      </c>
      <c r="H80">
        <v>1</v>
      </c>
      <c r="I80" t="s">
        <v>289</v>
      </c>
      <c r="K80" t="s">
        <v>278</v>
      </c>
      <c r="L80">
        <v>1191</v>
      </c>
      <c r="N80">
        <v>1013</v>
      </c>
      <c r="O80" t="s">
        <v>270</v>
      </c>
      <c r="P80" t="s">
        <v>270</v>
      </c>
      <c r="Q80">
        <v>1</v>
      </c>
      <c r="W80">
        <v>0</v>
      </c>
      <c r="X80">
        <v>-1173606021</v>
      </c>
      <c r="Y80">
        <v>0.3625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1</v>
      </c>
      <c r="AJ80">
        <v>1</v>
      </c>
      <c r="AK80">
        <v>37.34</v>
      </c>
      <c r="AL80">
        <v>1</v>
      </c>
      <c r="AN80">
        <v>0</v>
      </c>
      <c r="AO80">
        <v>1</v>
      </c>
      <c r="AP80">
        <v>1</v>
      </c>
      <c r="AQ80">
        <v>0</v>
      </c>
      <c r="AR80">
        <v>0</v>
      </c>
      <c r="AT80">
        <v>0.29</v>
      </c>
      <c r="AU80" t="s">
        <v>117</v>
      </c>
      <c r="AV80">
        <v>2</v>
      </c>
      <c r="AW80">
        <v>2</v>
      </c>
      <c r="AX80">
        <v>55655728</v>
      </c>
      <c r="AY80">
        <v>1</v>
      </c>
      <c r="AZ80">
        <v>0</v>
      </c>
      <c r="BA80">
        <v>84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Y80*Source!I84</f>
        <v>0.84825</v>
      </c>
      <c r="CY80">
        <f>AD80</f>
        <v>0</v>
      </c>
      <c r="CZ80">
        <f>AH80</f>
        <v>0</v>
      </c>
      <c r="DA80">
        <f>AL80</f>
        <v>1</v>
      </c>
      <c r="DB80">
        <f>ROUND((ROUND(AT80*CZ80,2)*ROUND(1.25,7)),2)</f>
        <v>0</v>
      </c>
      <c r="DC80">
        <f>ROUND((ROUND(AT80*AG80,2)*ROUND(1.25,7)),2)</f>
        <v>0</v>
      </c>
    </row>
    <row r="81" spans="1:107" ht="12.75">
      <c r="A81">
        <f>ROW(Source!A84)</f>
        <v>84</v>
      </c>
      <c r="B81">
        <v>55655399</v>
      </c>
      <c r="C81">
        <v>55655718</v>
      </c>
      <c r="D81">
        <v>49620286</v>
      </c>
      <c r="E81">
        <v>1</v>
      </c>
      <c r="F81">
        <v>1</v>
      </c>
      <c r="G81">
        <v>1</v>
      </c>
      <c r="H81">
        <v>2</v>
      </c>
      <c r="I81" t="s">
        <v>290</v>
      </c>
      <c r="J81" t="s">
        <v>291</v>
      </c>
      <c r="K81" t="s">
        <v>292</v>
      </c>
      <c r="L81">
        <v>1368</v>
      </c>
      <c r="N81">
        <v>1011</v>
      </c>
      <c r="O81" t="s">
        <v>274</v>
      </c>
      <c r="P81" t="s">
        <v>274</v>
      </c>
      <c r="Q81">
        <v>1</v>
      </c>
      <c r="W81">
        <v>0</v>
      </c>
      <c r="X81">
        <v>-1554407757</v>
      </c>
      <c r="Y81">
        <v>0.1875</v>
      </c>
      <c r="AA81">
        <v>0</v>
      </c>
      <c r="AB81">
        <v>1143.94</v>
      </c>
      <c r="AC81">
        <v>504.09</v>
      </c>
      <c r="AD81">
        <v>0</v>
      </c>
      <c r="AE81">
        <v>0</v>
      </c>
      <c r="AF81">
        <v>86.4</v>
      </c>
      <c r="AG81">
        <v>13.5</v>
      </c>
      <c r="AH81">
        <v>0</v>
      </c>
      <c r="AI81">
        <v>1</v>
      </c>
      <c r="AJ81">
        <v>13.24</v>
      </c>
      <c r="AK81">
        <v>37.34</v>
      </c>
      <c r="AL81">
        <v>1</v>
      </c>
      <c r="AN81">
        <v>0</v>
      </c>
      <c r="AO81">
        <v>1</v>
      </c>
      <c r="AP81">
        <v>1</v>
      </c>
      <c r="AQ81">
        <v>0</v>
      </c>
      <c r="AR81">
        <v>0</v>
      </c>
      <c r="AT81">
        <v>0.15</v>
      </c>
      <c r="AU81" t="s">
        <v>117</v>
      </c>
      <c r="AV81">
        <v>0</v>
      </c>
      <c r="AW81">
        <v>2</v>
      </c>
      <c r="AX81">
        <v>55655729</v>
      </c>
      <c r="AY81">
        <v>1</v>
      </c>
      <c r="AZ81">
        <v>0</v>
      </c>
      <c r="BA81">
        <v>85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Y81*Source!I84</f>
        <v>0.43875</v>
      </c>
      <c r="CY81">
        <f>AB81</f>
        <v>1143.94</v>
      </c>
      <c r="CZ81">
        <f>AF81</f>
        <v>86.4</v>
      </c>
      <c r="DA81">
        <f>AJ81</f>
        <v>13.24</v>
      </c>
      <c r="DB81">
        <f>ROUND((ROUND(AT81*CZ81,2)*ROUND(1.25,7)),2)</f>
        <v>16.2</v>
      </c>
      <c r="DC81">
        <f>ROUND((ROUND(AT81*AG81,2)*ROUND(1.25,7)),2)</f>
        <v>2.54</v>
      </c>
    </row>
    <row r="82" spans="1:107" ht="12.75">
      <c r="A82">
        <f>ROW(Source!A84)</f>
        <v>84</v>
      </c>
      <c r="B82">
        <v>55655399</v>
      </c>
      <c r="C82">
        <v>55655718</v>
      </c>
      <c r="D82">
        <v>49620344</v>
      </c>
      <c r="E82">
        <v>1</v>
      </c>
      <c r="F82">
        <v>1</v>
      </c>
      <c r="G82">
        <v>1</v>
      </c>
      <c r="H82">
        <v>2</v>
      </c>
      <c r="I82" t="s">
        <v>323</v>
      </c>
      <c r="J82" t="s">
        <v>324</v>
      </c>
      <c r="K82" t="s">
        <v>325</v>
      </c>
      <c r="L82">
        <v>1368</v>
      </c>
      <c r="N82">
        <v>1011</v>
      </c>
      <c r="O82" t="s">
        <v>274</v>
      </c>
      <c r="P82" t="s">
        <v>274</v>
      </c>
      <c r="Q82">
        <v>1</v>
      </c>
      <c r="W82">
        <v>0</v>
      </c>
      <c r="X82">
        <v>30216853</v>
      </c>
      <c r="Y82">
        <v>0.0625</v>
      </c>
      <c r="AA82">
        <v>0</v>
      </c>
      <c r="AB82">
        <v>1527.9</v>
      </c>
      <c r="AC82">
        <v>504.09</v>
      </c>
      <c r="AD82">
        <v>0</v>
      </c>
      <c r="AE82">
        <v>0</v>
      </c>
      <c r="AF82">
        <v>115.4</v>
      </c>
      <c r="AG82">
        <v>13.5</v>
      </c>
      <c r="AH82">
        <v>0</v>
      </c>
      <c r="AI82">
        <v>1</v>
      </c>
      <c r="AJ82">
        <v>13.24</v>
      </c>
      <c r="AK82">
        <v>37.34</v>
      </c>
      <c r="AL82">
        <v>1</v>
      </c>
      <c r="AN82">
        <v>0</v>
      </c>
      <c r="AO82">
        <v>1</v>
      </c>
      <c r="AP82">
        <v>1</v>
      </c>
      <c r="AQ82">
        <v>0</v>
      </c>
      <c r="AR82">
        <v>0</v>
      </c>
      <c r="AT82">
        <v>0.05</v>
      </c>
      <c r="AU82" t="s">
        <v>117</v>
      </c>
      <c r="AV82">
        <v>0</v>
      </c>
      <c r="AW82">
        <v>2</v>
      </c>
      <c r="AX82">
        <v>55655730</v>
      </c>
      <c r="AY82">
        <v>1</v>
      </c>
      <c r="AZ82">
        <v>0</v>
      </c>
      <c r="BA82">
        <v>86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Y82*Source!I84</f>
        <v>0.14625</v>
      </c>
      <c r="CY82">
        <f>AB82</f>
        <v>1527.9</v>
      </c>
      <c r="CZ82">
        <f>AF82</f>
        <v>115.4</v>
      </c>
      <c r="DA82">
        <f>AJ82</f>
        <v>13.24</v>
      </c>
      <c r="DB82">
        <f>ROUND((ROUND(AT82*CZ82,2)*ROUND(1.25,7)),2)</f>
        <v>7.21</v>
      </c>
      <c r="DC82">
        <f>ROUND((ROUND(AT82*AG82,2)*ROUND(1.25,7)),2)</f>
        <v>0.85</v>
      </c>
    </row>
    <row r="83" spans="1:107" ht="12.75">
      <c r="A83">
        <f>ROW(Source!A84)</f>
        <v>84</v>
      </c>
      <c r="B83">
        <v>55655399</v>
      </c>
      <c r="C83">
        <v>55655718</v>
      </c>
      <c r="D83">
        <v>49621268</v>
      </c>
      <c r="E83">
        <v>1</v>
      </c>
      <c r="F83">
        <v>1</v>
      </c>
      <c r="G83">
        <v>1</v>
      </c>
      <c r="H83">
        <v>2</v>
      </c>
      <c r="I83" t="s">
        <v>304</v>
      </c>
      <c r="J83" t="s">
        <v>305</v>
      </c>
      <c r="K83" t="s">
        <v>306</v>
      </c>
      <c r="L83">
        <v>1368</v>
      </c>
      <c r="N83">
        <v>1011</v>
      </c>
      <c r="O83" t="s">
        <v>274</v>
      </c>
      <c r="P83" t="s">
        <v>274</v>
      </c>
      <c r="Q83">
        <v>1</v>
      </c>
      <c r="W83">
        <v>0</v>
      </c>
      <c r="X83">
        <v>1862470278</v>
      </c>
      <c r="Y83">
        <v>0.11249999999999999</v>
      </c>
      <c r="AA83">
        <v>0</v>
      </c>
      <c r="AB83">
        <v>870</v>
      </c>
      <c r="AC83">
        <v>433.14</v>
      </c>
      <c r="AD83">
        <v>0</v>
      </c>
      <c r="AE83">
        <v>0</v>
      </c>
      <c r="AF83">
        <v>65.71</v>
      </c>
      <c r="AG83">
        <v>11.6</v>
      </c>
      <c r="AH83">
        <v>0</v>
      </c>
      <c r="AI83">
        <v>1</v>
      </c>
      <c r="AJ83">
        <v>13.24</v>
      </c>
      <c r="AK83">
        <v>37.34</v>
      </c>
      <c r="AL83">
        <v>1</v>
      </c>
      <c r="AN83">
        <v>0</v>
      </c>
      <c r="AO83">
        <v>1</v>
      </c>
      <c r="AP83">
        <v>1</v>
      </c>
      <c r="AQ83">
        <v>0</v>
      </c>
      <c r="AR83">
        <v>0</v>
      </c>
      <c r="AT83">
        <v>0.09</v>
      </c>
      <c r="AU83" t="s">
        <v>117</v>
      </c>
      <c r="AV83">
        <v>0</v>
      </c>
      <c r="AW83">
        <v>2</v>
      </c>
      <c r="AX83">
        <v>55655731</v>
      </c>
      <c r="AY83">
        <v>1</v>
      </c>
      <c r="AZ83">
        <v>0</v>
      </c>
      <c r="BA83">
        <v>87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Y83*Source!I84</f>
        <v>0.26325</v>
      </c>
      <c r="CY83">
        <f>AB83</f>
        <v>870</v>
      </c>
      <c r="CZ83">
        <f>AF83</f>
        <v>65.71</v>
      </c>
      <c r="DA83">
        <f>AJ83</f>
        <v>13.24</v>
      </c>
      <c r="DB83">
        <f>ROUND((ROUND(AT83*CZ83,2)*ROUND(1.25,7)),2)</f>
        <v>7.39</v>
      </c>
      <c r="DC83">
        <f>ROUND((ROUND(AT83*AG83,2)*ROUND(1.25,7)),2)</f>
        <v>1.3</v>
      </c>
    </row>
    <row r="84" spans="1:107" ht="12.75">
      <c r="A84">
        <f>ROW(Source!A84)</f>
        <v>84</v>
      </c>
      <c r="B84">
        <v>55655399</v>
      </c>
      <c r="C84">
        <v>55655718</v>
      </c>
      <c r="D84">
        <v>49470012</v>
      </c>
      <c r="E84">
        <v>1</v>
      </c>
      <c r="F84">
        <v>1</v>
      </c>
      <c r="G84">
        <v>1</v>
      </c>
      <c r="H84">
        <v>3</v>
      </c>
      <c r="I84" t="s">
        <v>326</v>
      </c>
      <c r="J84" t="s">
        <v>327</v>
      </c>
      <c r="K84" t="s">
        <v>328</v>
      </c>
      <c r="L84">
        <v>1346</v>
      </c>
      <c r="N84">
        <v>1009</v>
      </c>
      <c r="O84" t="s">
        <v>329</v>
      </c>
      <c r="P84" t="s">
        <v>329</v>
      </c>
      <c r="Q84">
        <v>1</v>
      </c>
      <c r="W84">
        <v>0</v>
      </c>
      <c r="X84">
        <v>795665641</v>
      </c>
      <c r="Y84">
        <v>29.94</v>
      </c>
      <c r="AA84">
        <v>40.92</v>
      </c>
      <c r="AB84">
        <v>0</v>
      </c>
      <c r="AC84">
        <v>0</v>
      </c>
      <c r="AD84">
        <v>0</v>
      </c>
      <c r="AE84">
        <v>6.09</v>
      </c>
      <c r="AF84">
        <v>0</v>
      </c>
      <c r="AG84">
        <v>0</v>
      </c>
      <c r="AH84">
        <v>0</v>
      </c>
      <c r="AI84">
        <v>6.72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T84">
        <v>29.94</v>
      </c>
      <c r="AV84">
        <v>0</v>
      </c>
      <c r="AW84">
        <v>2</v>
      </c>
      <c r="AX84">
        <v>55655732</v>
      </c>
      <c r="AY84">
        <v>1</v>
      </c>
      <c r="AZ84">
        <v>0</v>
      </c>
      <c r="BA84">
        <v>88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Y84*Source!I84</f>
        <v>70.0596</v>
      </c>
      <c r="CY84">
        <f>AA84</f>
        <v>40.92</v>
      </c>
      <c r="CZ84">
        <f>AE84</f>
        <v>6.09</v>
      </c>
      <c r="DA84">
        <f>AI84</f>
        <v>6.72</v>
      </c>
      <c r="DB84">
        <f>ROUND(ROUND(AT84*CZ84,2),2)</f>
        <v>182.33</v>
      </c>
      <c r="DC84">
        <f>ROUND(ROUND(AT84*AG84,2),2)</f>
        <v>0</v>
      </c>
    </row>
    <row r="85" spans="1:107" ht="12.75">
      <c r="A85">
        <f>ROW(Source!A84)</f>
        <v>84</v>
      </c>
      <c r="B85">
        <v>55655399</v>
      </c>
      <c r="C85">
        <v>55655718</v>
      </c>
      <c r="D85">
        <v>53668865</v>
      </c>
      <c r="E85">
        <v>1</v>
      </c>
      <c r="F85">
        <v>1</v>
      </c>
      <c r="G85">
        <v>1</v>
      </c>
      <c r="H85">
        <v>3</v>
      </c>
      <c r="I85" t="s">
        <v>157</v>
      </c>
      <c r="J85" t="s">
        <v>159</v>
      </c>
      <c r="K85" t="s">
        <v>158</v>
      </c>
      <c r="L85">
        <v>1327</v>
      </c>
      <c r="N85">
        <v>1005</v>
      </c>
      <c r="O85" t="s">
        <v>154</v>
      </c>
      <c r="P85" t="s">
        <v>154</v>
      </c>
      <c r="Q85">
        <v>1</v>
      </c>
      <c r="W85">
        <v>0</v>
      </c>
      <c r="X85">
        <v>1866959067</v>
      </c>
      <c r="Y85">
        <v>114</v>
      </c>
      <c r="AA85">
        <v>168.6</v>
      </c>
      <c r="AB85">
        <v>0</v>
      </c>
      <c r="AC85">
        <v>0</v>
      </c>
      <c r="AD85">
        <v>0</v>
      </c>
      <c r="AE85">
        <v>25.09</v>
      </c>
      <c r="AF85">
        <v>0</v>
      </c>
      <c r="AG85">
        <v>0</v>
      </c>
      <c r="AH85">
        <v>0</v>
      </c>
      <c r="AI85">
        <v>6.72</v>
      </c>
      <c r="AJ85">
        <v>1</v>
      </c>
      <c r="AK85">
        <v>1</v>
      </c>
      <c r="AL85">
        <v>1</v>
      </c>
      <c r="AN85">
        <v>0</v>
      </c>
      <c r="AO85">
        <v>0</v>
      </c>
      <c r="AP85">
        <v>0</v>
      </c>
      <c r="AQ85">
        <v>0</v>
      </c>
      <c r="AR85">
        <v>0</v>
      </c>
      <c r="AT85">
        <v>114</v>
      </c>
      <c r="AV85">
        <v>0</v>
      </c>
      <c r="AW85">
        <v>1</v>
      </c>
      <c r="AX85">
        <v>-1</v>
      </c>
      <c r="AY85">
        <v>0</v>
      </c>
      <c r="AZ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Y85*Source!I84</f>
        <v>266.76</v>
      </c>
      <c r="CY85">
        <f>AA85</f>
        <v>168.6</v>
      </c>
      <c r="CZ85">
        <f>AE85</f>
        <v>25.09</v>
      </c>
      <c r="DA85">
        <f>AI85</f>
        <v>6.72</v>
      </c>
      <c r="DB85">
        <f>ROUND(ROUND(AT85*CZ85,2),2)</f>
        <v>2860.26</v>
      </c>
      <c r="DC85">
        <f>ROUND(ROUND(AT85*AG85,2),2)</f>
        <v>0</v>
      </c>
    </row>
    <row r="86" spans="1:107" ht="12.75">
      <c r="A86">
        <f>ROW(Source!A84)</f>
        <v>84</v>
      </c>
      <c r="B86">
        <v>55655399</v>
      </c>
      <c r="C86">
        <v>55655718</v>
      </c>
      <c r="D86">
        <v>53668866</v>
      </c>
      <c r="E86">
        <v>1</v>
      </c>
      <c r="F86">
        <v>1</v>
      </c>
      <c r="G86">
        <v>1</v>
      </c>
      <c r="H86">
        <v>3</v>
      </c>
      <c r="I86" t="s">
        <v>152</v>
      </c>
      <c r="J86" t="s">
        <v>155</v>
      </c>
      <c r="K86" t="s">
        <v>153</v>
      </c>
      <c r="L86">
        <v>1327</v>
      </c>
      <c r="N86">
        <v>1005</v>
      </c>
      <c r="O86" t="s">
        <v>154</v>
      </c>
      <c r="P86" t="s">
        <v>154</v>
      </c>
      <c r="Q86">
        <v>1</v>
      </c>
      <c r="W86">
        <v>0</v>
      </c>
      <c r="X86">
        <v>-211967687</v>
      </c>
      <c r="Y86">
        <v>116</v>
      </c>
      <c r="AA86">
        <v>154.96</v>
      </c>
      <c r="AB86">
        <v>0</v>
      </c>
      <c r="AC86">
        <v>0</v>
      </c>
      <c r="AD86">
        <v>0</v>
      </c>
      <c r="AE86">
        <v>23.06</v>
      </c>
      <c r="AF86">
        <v>0</v>
      </c>
      <c r="AG86">
        <v>0</v>
      </c>
      <c r="AH86">
        <v>0</v>
      </c>
      <c r="AI86">
        <v>6.72</v>
      </c>
      <c r="AJ86">
        <v>1</v>
      </c>
      <c r="AK86">
        <v>1</v>
      </c>
      <c r="AL86">
        <v>1</v>
      </c>
      <c r="AN86">
        <v>0</v>
      </c>
      <c r="AO86">
        <v>0</v>
      </c>
      <c r="AP86">
        <v>0</v>
      </c>
      <c r="AQ86">
        <v>0</v>
      </c>
      <c r="AR86">
        <v>0</v>
      </c>
      <c r="AT86">
        <v>116</v>
      </c>
      <c r="AV86">
        <v>0</v>
      </c>
      <c r="AW86">
        <v>1</v>
      </c>
      <c r="AX86">
        <v>-1</v>
      </c>
      <c r="AY86">
        <v>0</v>
      </c>
      <c r="AZ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Y86*Source!I84</f>
        <v>271.44</v>
      </c>
      <c r="CY86">
        <f>AA86</f>
        <v>154.96</v>
      </c>
      <c r="CZ86">
        <f>AE86</f>
        <v>23.06</v>
      </c>
      <c r="DA86">
        <f>AI86</f>
        <v>6.72</v>
      </c>
      <c r="DB86">
        <f>ROUND(ROUND(AT86*CZ86,2),2)</f>
        <v>2674.96</v>
      </c>
      <c r="DC86">
        <f>ROUND(ROUND(AT86*AG86,2),2)</f>
        <v>0</v>
      </c>
    </row>
    <row r="87" spans="1:107" ht="12.75">
      <c r="A87">
        <f>ROW(Source!A89)</f>
        <v>89</v>
      </c>
      <c r="B87">
        <v>55655398</v>
      </c>
      <c r="C87">
        <v>55667404</v>
      </c>
      <c r="D87">
        <v>49459409</v>
      </c>
      <c r="E87">
        <v>58</v>
      </c>
      <c r="F87">
        <v>1</v>
      </c>
      <c r="G87">
        <v>1</v>
      </c>
      <c r="H87">
        <v>1</v>
      </c>
      <c r="I87" t="s">
        <v>330</v>
      </c>
      <c r="K87" t="s">
        <v>331</v>
      </c>
      <c r="L87">
        <v>1191</v>
      </c>
      <c r="N87">
        <v>1013</v>
      </c>
      <c r="O87" t="s">
        <v>270</v>
      </c>
      <c r="P87" t="s">
        <v>270</v>
      </c>
      <c r="Q87">
        <v>1</v>
      </c>
      <c r="W87">
        <v>0</v>
      </c>
      <c r="X87">
        <v>-1027537862</v>
      </c>
      <c r="Y87">
        <v>40.824999999999996</v>
      </c>
      <c r="AA87">
        <v>0</v>
      </c>
      <c r="AB87">
        <v>0</v>
      </c>
      <c r="AC87">
        <v>0</v>
      </c>
      <c r="AD87">
        <v>9.18</v>
      </c>
      <c r="AE87">
        <v>0</v>
      </c>
      <c r="AF87">
        <v>0</v>
      </c>
      <c r="AG87">
        <v>0</v>
      </c>
      <c r="AH87">
        <v>9.18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1</v>
      </c>
      <c r="AQ87">
        <v>0</v>
      </c>
      <c r="AR87">
        <v>0</v>
      </c>
      <c r="AT87">
        <v>35.5</v>
      </c>
      <c r="AU87" t="s">
        <v>118</v>
      </c>
      <c r="AV87">
        <v>1</v>
      </c>
      <c r="AW87">
        <v>2</v>
      </c>
      <c r="AX87">
        <v>55667405</v>
      </c>
      <c r="AY87">
        <v>1</v>
      </c>
      <c r="AZ87">
        <v>0</v>
      </c>
      <c r="BA87">
        <v>91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Y87*Source!I89</f>
        <v>4.245799999999999</v>
      </c>
      <c r="CY87">
        <f>AD87</f>
        <v>9.18</v>
      </c>
      <c r="CZ87">
        <f>AH87</f>
        <v>9.18</v>
      </c>
      <c r="DA87">
        <f>AL87</f>
        <v>1</v>
      </c>
      <c r="DB87">
        <f>ROUND((ROUND(AT87*CZ87,2)*ROUND(1.15,7)),2)</f>
        <v>374.77</v>
      </c>
      <c r="DC87">
        <f>ROUND((ROUND(AT87*AG87,2)*ROUND(1.15,7)),2)</f>
        <v>0</v>
      </c>
    </row>
    <row r="88" spans="1:107" ht="12.75">
      <c r="A88">
        <f>ROW(Source!A89)</f>
        <v>89</v>
      </c>
      <c r="B88">
        <v>55655398</v>
      </c>
      <c r="C88">
        <v>55667404</v>
      </c>
      <c r="D88">
        <v>49459566</v>
      </c>
      <c r="E88">
        <v>58</v>
      </c>
      <c r="F88">
        <v>1</v>
      </c>
      <c r="G88">
        <v>1</v>
      </c>
      <c r="H88">
        <v>1</v>
      </c>
      <c r="I88" t="s">
        <v>289</v>
      </c>
      <c r="K88" t="s">
        <v>278</v>
      </c>
      <c r="L88">
        <v>1191</v>
      </c>
      <c r="N88">
        <v>1013</v>
      </c>
      <c r="O88" t="s">
        <v>270</v>
      </c>
      <c r="P88" t="s">
        <v>270</v>
      </c>
      <c r="Q88">
        <v>1</v>
      </c>
      <c r="W88">
        <v>0</v>
      </c>
      <c r="X88">
        <v>-1173606021</v>
      </c>
      <c r="Y88">
        <v>1.075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1</v>
      </c>
      <c r="AQ88">
        <v>0</v>
      </c>
      <c r="AR88">
        <v>0</v>
      </c>
      <c r="AT88">
        <v>0.86</v>
      </c>
      <c r="AU88" t="s">
        <v>117</v>
      </c>
      <c r="AV88">
        <v>2</v>
      </c>
      <c r="AW88">
        <v>2</v>
      </c>
      <c r="AX88">
        <v>55667406</v>
      </c>
      <c r="AY88">
        <v>1</v>
      </c>
      <c r="AZ88">
        <v>0</v>
      </c>
      <c r="BA88">
        <v>92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Y88*Source!I89</f>
        <v>0.1118</v>
      </c>
      <c r="CY88">
        <f>AD88</f>
        <v>0</v>
      </c>
      <c r="CZ88">
        <f>AH88</f>
        <v>0</v>
      </c>
      <c r="DA88">
        <f>AL88</f>
        <v>1</v>
      </c>
      <c r="DB88">
        <f>ROUND((ROUND(AT88*CZ88,2)*ROUND(1.25,7)),2)</f>
        <v>0</v>
      </c>
      <c r="DC88">
        <f>ROUND((ROUND(AT88*AG88,2)*ROUND(1.25,7)),2)</f>
        <v>0</v>
      </c>
    </row>
    <row r="89" spans="1:107" ht="12.75">
      <c r="A89">
        <f>ROW(Source!A89)</f>
        <v>89</v>
      </c>
      <c r="B89">
        <v>55655398</v>
      </c>
      <c r="C89">
        <v>55667404</v>
      </c>
      <c r="D89">
        <v>49620286</v>
      </c>
      <c r="E89">
        <v>1</v>
      </c>
      <c r="F89">
        <v>1</v>
      </c>
      <c r="G89">
        <v>1</v>
      </c>
      <c r="H89">
        <v>2</v>
      </c>
      <c r="I89" t="s">
        <v>290</v>
      </c>
      <c r="J89" t="s">
        <v>291</v>
      </c>
      <c r="K89" t="s">
        <v>292</v>
      </c>
      <c r="L89">
        <v>1368</v>
      </c>
      <c r="N89">
        <v>1011</v>
      </c>
      <c r="O89" t="s">
        <v>274</v>
      </c>
      <c r="P89" t="s">
        <v>274</v>
      </c>
      <c r="Q89">
        <v>1</v>
      </c>
      <c r="W89">
        <v>0</v>
      </c>
      <c r="X89">
        <v>-1554407757</v>
      </c>
      <c r="Y89">
        <v>0.7625</v>
      </c>
      <c r="AA89">
        <v>0</v>
      </c>
      <c r="AB89">
        <v>86.4</v>
      </c>
      <c r="AC89">
        <v>13.5</v>
      </c>
      <c r="AD89">
        <v>0</v>
      </c>
      <c r="AE89">
        <v>0</v>
      </c>
      <c r="AF89">
        <v>86.4</v>
      </c>
      <c r="AG89">
        <v>13.5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1</v>
      </c>
      <c r="AQ89">
        <v>0</v>
      </c>
      <c r="AR89">
        <v>0</v>
      </c>
      <c r="AT89">
        <v>0.61</v>
      </c>
      <c r="AU89" t="s">
        <v>117</v>
      </c>
      <c r="AV89">
        <v>0</v>
      </c>
      <c r="AW89">
        <v>2</v>
      </c>
      <c r="AX89">
        <v>55667407</v>
      </c>
      <c r="AY89">
        <v>1</v>
      </c>
      <c r="AZ89">
        <v>0</v>
      </c>
      <c r="BA89">
        <v>93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Y89*Source!I89</f>
        <v>0.0793</v>
      </c>
      <c r="CY89">
        <f>AB89</f>
        <v>86.4</v>
      </c>
      <c r="CZ89">
        <f>AF89</f>
        <v>86.4</v>
      </c>
      <c r="DA89">
        <f>AJ89</f>
        <v>1</v>
      </c>
      <c r="DB89">
        <f>ROUND((ROUND(AT89*CZ89,2)*ROUND(1.25,7)),2)</f>
        <v>65.88</v>
      </c>
      <c r="DC89">
        <f>ROUND((ROUND(AT89*AG89,2)*ROUND(1.25,7)),2)</f>
        <v>10.3</v>
      </c>
    </row>
    <row r="90" spans="1:107" ht="12.75">
      <c r="A90">
        <f>ROW(Source!A89)</f>
        <v>89</v>
      </c>
      <c r="B90">
        <v>55655398</v>
      </c>
      <c r="C90">
        <v>55667404</v>
      </c>
      <c r="D90">
        <v>49620344</v>
      </c>
      <c r="E90">
        <v>1</v>
      </c>
      <c r="F90">
        <v>1</v>
      </c>
      <c r="G90">
        <v>1</v>
      </c>
      <c r="H90">
        <v>2</v>
      </c>
      <c r="I90" t="s">
        <v>323</v>
      </c>
      <c r="J90" t="s">
        <v>324</v>
      </c>
      <c r="K90" t="s">
        <v>325</v>
      </c>
      <c r="L90">
        <v>1368</v>
      </c>
      <c r="N90">
        <v>1011</v>
      </c>
      <c r="O90" t="s">
        <v>274</v>
      </c>
      <c r="P90" t="s">
        <v>274</v>
      </c>
      <c r="Q90">
        <v>1</v>
      </c>
      <c r="W90">
        <v>0</v>
      </c>
      <c r="X90">
        <v>30216853</v>
      </c>
      <c r="Y90">
        <v>0.125</v>
      </c>
      <c r="AA90">
        <v>0</v>
      </c>
      <c r="AB90">
        <v>115.4</v>
      </c>
      <c r="AC90">
        <v>13.5</v>
      </c>
      <c r="AD90">
        <v>0</v>
      </c>
      <c r="AE90">
        <v>0</v>
      </c>
      <c r="AF90">
        <v>115.4</v>
      </c>
      <c r="AG90">
        <v>13.5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1</v>
      </c>
      <c r="AQ90">
        <v>0</v>
      </c>
      <c r="AR90">
        <v>0</v>
      </c>
      <c r="AT90">
        <v>0.1</v>
      </c>
      <c r="AU90" t="s">
        <v>117</v>
      </c>
      <c r="AV90">
        <v>0</v>
      </c>
      <c r="AW90">
        <v>2</v>
      </c>
      <c r="AX90">
        <v>55667408</v>
      </c>
      <c r="AY90">
        <v>1</v>
      </c>
      <c r="AZ90">
        <v>0</v>
      </c>
      <c r="BA90">
        <v>94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Y90*Source!I89</f>
        <v>0.013</v>
      </c>
      <c r="CY90">
        <f>AB90</f>
        <v>115.4</v>
      </c>
      <c r="CZ90">
        <f>AF90</f>
        <v>115.4</v>
      </c>
      <c r="DA90">
        <f>AJ90</f>
        <v>1</v>
      </c>
      <c r="DB90">
        <f>ROUND((ROUND(AT90*CZ90,2)*ROUND(1.25,7)),2)</f>
        <v>14.43</v>
      </c>
      <c r="DC90">
        <f>ROUND((ROUND(AT90*AG90,2)*ROUND(1.25,7)),2)</f>
        <v>1.69</v>
      </c>
    </row>
    <row r="91" spans="1:107" ht="12.75">
      <c r="A91">
        <f>ROW(Source!A89)</f>
        <v>89</v>
      </c>
      <c r="B91">
        <v>55655398</v>
      </c>
      <c r="C91">
        <v>55667404</v>
      </c>
      <c r="D91">
        <v>49621268</v>
      </c>
      <c r="E91">
        <v>1</v>
      </c>
      <c r="F91">
        <v>1</v>
      </c>
      <c r="G91">
        <v>1</v>
      </c>
      <c r="H91">
        <v>2</v>
      </c>
      <c r="I91" t="s">
        <v>304</v>
      </c>
      <c r="J91" t="s">
        <v>305</v>
      </c>
      <c r="K91" t="s">
        <v>306</v>
      </c>
      <c r="L91">
        <v>1368</v>
      </c>
      <c r="N91">
        <v>1011</v>
      </c>
      <c r="O91" t="s">
        <v>274</v>
      </c>
      <c r="P91" t="s">
        <v>274</v>
      </c>
      <c r="Q91">
        <v>1</v>
      </c>
      <c r="W91">
        <v>0</v>
      </c>
      <c r="X91">
        <v>1862470278</v>
      </c>
      <c r="Y91">
        <v>0.1875</v>
      </c>
      <c r="AA91">
        <v>0</v>
      </c>
      <c r="AB91">
        <v>65.71</v>
      </c>
      <c r="AC91">
        <v>11.6</v>
      </c>
      <c r="AD91">
        <v>0</v>
      </c>
      <c r="AE91">
        <v>0</v>
      </c>
      <c r="AF91">
        <v>65.71</v>
      </c>
      <c r="AG91">
        <v>11.6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1</v>
      </c>
      <c r="AQ91">
        <v>0</v>
      </c>
      <c r="AR91">
        <v>0</v>
      </c>
      <c r="AT91">
        <v>0.15</v>
      </c>
      <c r="AU91" t="s">
        <v>117</v>
      </c>
      <c r="AV91">
        <v>0</v>
      </c>
      <c r="AW91">
        <v>2</v>
      </c>
      <c r="AX91">
        <v>55667409</v>
      </c>
      <c r="AY91">
        <v>1</v>
      </c>
      <c r="AZ91">
        <v>0</v>
      </c>
      <c r="BA91">
        <v>95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Y91*Source!I89</f>
        <v>0.0195</v>
      </c>
      <c r="CY91">
        <f>AB91</f>
        <v>65.71</v>
      </c>
      <c r="CZ91">
        <f>AF91</f>
        <v>65.71</v>
      </c>
      <c r="DA91">
        <f>AJ91</f>
        <v>1</v>
      </c>
      <c r="DB91">
        <f>ROUND((ROUND(AT91*CZ91,2)*ROUND(1.25,7)),2)</f>
        <v>12.33</v>
      </c>
      <c r="DC91">
        <f>ROUND((ROUND(AT91*AG91,2)*ROUND(1.25,7)),2)</f>
        <v>2.18</v>
      </c>
    </row>
    <row r="92" spans="1:107" ht="12.75">
      <c r="A92">
        <f>ROW(Source!A89)</f>
        <v>89</v>
      </c>
      <c r="B92">
        <v>55655398</v>
      </c>
      <c r="C92">
        <v>55667404</v>
      </c>
      <c r="D92">
        <v>49470012</v>
      </c>
      <c r="E92">
        <v>1</v>
      </c>
      <c r="F92">
        <v>1</v>
      </c>
      <c r="G92">
        <v>1</v>
      </c>
      <c r="H92">
        <v>3</v>
      </c>
      <c r="I92" t="s">
        <v>326</v>
      </c>
      <c r="J92" t="s">
        <v>327</v>
      </c>
      <c r="K92" t="s">
        <v>328</v>
      </c>
      <c r="L92">
        <v>1346</v>
      </c>
      <c r="N92">
        <v>1009</v>
      </c>
      <c r="O92" t="s">
        <v>329</v>
      </c>
      <c r="P92" t="s">
        <v>329</v>
      </c>
      <c r="Q92">
        <v>1</v>
      </c>
      <c r="W92">
        <v>0</v>
      </c>
      <c r="X92">
        <v>795665641</v>
      </c>
      <c r="Y92">
        <v>32.49</v>
      </c>
      <c r="AA92">
        <v>6.09</v>
      </c>
      <c r="AB92">
        <v>0</v>
      </c>
      <c r="AC92">
        <v>0</v>
      </c>
      <c r="AD92">
        <v>0</v>
      </c>
      <c r="AE92">
        <v>6.09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T92">
        <v>32.49</v>
      </c>
      <c r="AV92">
        <v>0</v>
      </c>
      <c r="AW92">
        <v>2</v>
      </c>
      <c r="AX92">
        <v>55667410</v>
      </c>
      <c r="AY92">
        <v>1</v>
      </c>
      <c r="AZ92">
        <v>0</v>
      </c>
      <c r="BA92">
        <v>96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Y92*Source!I89</f>
        <v>3.37896</v>
      </c>
      <c r="CY92">
        <f>AA92</f>
        <v>6.09</v>
      </c>
      <c r="CZ92">
        <f>AE92</f>
        <v>6.09</v>
      </c>
      <c r="DA92">
        <f>AI92</f>
        <v>1</v>
      </c>
      <c r="DB92">
        <f>ROUND(ROUND(AT92*CZ92,2),2)</f>
        <v>197.86</v>
      </c>
      <c r="DC92">
        <f>ROUND(ROUND(AT92*AG92,2),2)</f>
        <v>0</v>
      </c>
    </row>
    <row r="93" spans="1:107" ht="12.75">
      <c r="A93">
        <f>ROW(Source!A89)</f>
        <v>89</v>
      </c>
      <c r="B93">
        <v>55655398</v>
      </c>
      <c r="C93">
        <v>55667404</v>
      </c>
      <c r="D93">
        <v>49476762</v>
      </c>
      <c r="E93">
        <v>1</v>
      </c>
      <c r="F93">
        <v>1</v>
      </c>
      <c r="G93">
        <v>1</v>
      </c>
      <c r="H93">
        <v>3</v>
      </c>
      <c r="I93" t="s">
        <v>332</v>
      </c>
      <c r="J93" t="s">
        <v>333</v>
      </c>
      <c r="K93" t="s">
        <v>334</v>
      </c>
      <c r="L93">
        <v>1339</v>
      </c>
      <c r="N93">
        <v>1007</v>
      </c>
      <c r="O93" t="s">
        <v>50</v>
      </c>
      <c r="P93" t="s">
        <v>50</v>
      </c>
      <c r="Q93">
        <v>1</v>
      </c>
      <c r="W93">
        <v>0</v>
      </c>
      <c r="X93">
        <v>-1924676840</v>
      </c>
      <c r="Y93">
        <v>0.51</v>
      </c>
      <c r="AA93">
        <v>519.8</v>
      </c>
      <c r="AB93">
        <v>0</v>
      </c>
      <c r="AC93">
        <v>0</v>
      </c>
      <c r="AD93">
        <v>0</v>
      </c>
      <c r="AE93">
        <v>519.8</v>
      </c>
      <c r="AF93">
        <v>0</v>
      </c>
      <c r="AG93">
        <v>0</v>
      </c>
      <c r="AH93">
        <v>0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T93">
        <v>0.51</v>
      </c>
      <c r="AV93">
        <v>0</v>
      </c>
      <c r="AW93">
        <v>2</v>
      </c>
      <c r="AX93">
        <v>55667411</v>
      </c>
      <c r="AY93">
        <v>1</v>
      </c>
      <c r="AZ93">
        <v>0</v>
      </c>
      <c r="BA93">
        <v>97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Y93*Source!I89</f>
        <v>0.05304</v>
      </c>
      <c r="CY93">
        <f>AA93</f>
        <v>519.8</v>
      </c>
      <c r="CZ93">
        <f>AE93</f>
        <v>519.8</v>
      </c>
      <c r="DA93">
        <f>AI93</f>
        <v>1</v>
      </c>
      <c r="DB93">
        <f>ROUND(ROUND(AT93*CZ93,2),2)</f>
        <v>265.1</v>
      </c>
      <c r="DC93">
        <f>ROUND(ROUND(AT93*AG93,2),2)</f>
        <v>0</v>
      </c>
    </row>
    <row r="94" spans="1:107" ht="12.75">
      <c r="A94">
        <f>ROW(Source!A89)</f>
        <v>89</v>
      </c>
      <c r="B94">
        <v>55655398</v>
      </c>
      <c r="C94">
        <v>55667404</v>
      </c>
      <c r="D94">
        <v>53668865</v>
      </c>
      <c r="E94">
        <v>1</v>
      </c>
      <c r="F94">
        <v>1</v>
      </c>
      <c r="G94">
        <v>1</v>
      </c>
      <c r="H94">
        <v>3</v>
      </c>
      <c r="I94" t="s">
        <v>157</v>
      </c>
      <c r="J94" t="s">
        <v>159</v>
      </c>
      <c r="K94" t="s">
        <v>158</v>
      </c>
      <c r="L94">
        <v>1327</v>
      </c>
      <c r="N94">
        <v>1005</v>
      </c>
      <c r="O94" t="s">
        <v>154</v>
      </c>
      <c r="P94" t="s">
        <v>154</v>
      </c>
      <c r="Q94">
        <v>1</v>
      </c>
      <c r="W94">
        <v>0</v>
      </c>
      <c r="X94">
        <v>1866959067</v>
      </c>
      <c r="Y94">
        <v>114</v>
      </c>
      <c r="AA94">
        <v>25.09</v>
      </c>
      <c r="AB94">
        <v>0</v>
      </c>
      <c r="AC94">
        <v>0</v>
      </c>
      <c r="AD94">
        <v>0</v>
      </c>
      <c r="AE94">
        <v>25.09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0</v>
      </c>
      <c r="AP94">
        <v>0</v>
      </c>
      <c r="AQ94">
        <v>0</v>
      </c>
      <c r="AR94">
        <v>0</v>
      </c>
      <c r="AT94">
        <v>114</v>
      </c>
      <c r="AV94">
        <v>0</v>
      </c>
      <c r="AW94">
        <v>1</v>
      </c>
      <c r="AX94">
        <v>-1</v>
      </c>
      <c r="AY94">
        <v>0</v>
      </c>
      <c r="AZ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Y94*Source!I89</f>
        <v>11.856</v>
      </c>
      <c r="CY94">
        <f>AA94</f>
        <v>25.09</v>
      </c>
      <c r="CZ94">
        <f>AE94</f>
        <v>25.09</v>
      </c>
      <c r="DA94">
        <f>AI94</f>
        <v>1</v>
      </c>
      <c r="DB94">
        <f>ROUND(ROUND(AT94*CZ94,2),2)</f>
        <v>2860.26</v>
      </c>
      <c r="DC94">
        <f>ROUND(ROUND(AT94*AG94,2),2)</f>
        <v>0</v>
      </c>
    </row>
    <row r="95" spans="1:107" ht="12.75">
      <c r="A95">
        <f>ROW(Source!A89)</f>
        <v>89</v>
      </c>
      <c r="B95">
        <v>55655398</v>
      </c>
      <c r="C95">
        <v>55667404</v>
      </c>
      <c r="D95">
        <v>53668866</v>
      </c>
      <c r="E95">
        <v>1</v>
      </c>
      <c r="F95">
        <v>1</v>
      </c>
      <c r="G95">
        <v>1</v>
      </c>
      <c r="H95">
        <v>3</v>
      </c>
      <c r="I95" t="s">
        <v>152</v>
      </c>
      <c r="J95" t="s">
        <v>155</v>
      </c>
      <c r="K95" t="s">
        <v>153</v>
      </c>
      <c r="L95">
        <v>1327</v>
      </c>
      <c r="N95">
        <v>1005</v>
      </c>
      <c r="O95" t="s">
        <v>154</v>
      </c>
      <c r="P95" t="s">
        <v>154</v>
      </c>
      <c r="Q95">
        <v>1</v>
      </c>
      <c r="W95">
        <v>0</v>
      </c>
      <c r="X95">
        <v>-211967687</v>
      </c>
      <c r="Y95">
        <v>116</v>
      </c>
      <c r="AA95">
        <v>23.06</v>
      </c>
      <c r="AB95">
        <v>0</v>
      </c>
      <c r="AC95">
        <v>0</v>
      </c>
      <c r="AD95">
        <v>0</v>
      </c>
      <c r="AE95">
        <v>23.06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0</v>
      </c>
      <c r="AP95">
        <v>0</v>
      </c>
      <c r="AQ95">
        <v>0</v>
      </c>
      <c r="AR95">
        <v>0</v>
      </c>
      <c r="AT95">
        <v>116</v>
      </c>
      <c r="AV95">
        <v>0</v>
      </c>
      <c r="AW95">
        <v>1</v>
      </c>
      <c r="AX95">
        <v>-1</v>
      </c>
      <c r="AY95">
        <v>0</v>
      </c>
      <c r="AZ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Y95*Source!I89</f>
        <v>12.064</v>
      </c>
      <c r="CY95">
        <f>AA95</f>
        <v>23.06</v>
      </c>
      <c r="CZ95">
        <f>AE95</f>
        <v>23.06</v>
      </c>
      <c r="DA95">
        <f>AI95</f>
        <v>1</v>
      </c>
      <c r="DB95">
        <f>ROUND(ROUND(AT95*CZ95,2),2)</f>
        <v>2674.96</v>
      </c>
      <c r="DC95">
        <f>ROUND(ROUND(AT95*AG95,2),2)</f>
        <v>0</v>
      </c>
    </row>
    <row r="96" spans="1:107" ht="12.75">
      <c r="A96">
        <f>ROW(Source!A90)</f>
        <v>90</v>
      </c>
      <c r="B96">
        <v>55655399</v>
      </c>
      <c r="C96">
        <v>55667404</v>
      </c>
      <c r="D96">
        <v>49459409</v>
      </c>
      <c r="E96">
        <v>58</v>
      </c>
      <c r="F96">
        <v>1</v>
      </c>
      <c r="G96">
        <v>1</v>
      </c>
      <c r="H96">
        <v>1</v>
      </c>
      <c r="I96" t="s">
        <v>330</v>
      </c>
      <c r="K96" t="s">
        <v>331</v>
      </c>
      <c r="L96">
        <v>1191</v>
      </c>
      <c r="N96">
        <v>1013</v>
      </c>
      <c r="O96" t="s">
        <v>270</v>
      </c>
      <c r="P96" t="s">
        <v>270</v>
      </c>
      <c r="Q96">
        <v>1</v>
      </c>
      <c r="W96">
        <v>0</v>
      </c>
      <c r="X96">
        <v>-1027537862</v>
      </c>
      <c r="Y96">
        <v>40.824999999999996</v>
      </c>
      <c r="AA96">
        <v>0</v>
      </c>
      <c r="AB96">
        <v>0</v>
      </c>
      <c r="AC96">
        <v>0</v>
      </c>
      <c r="AD96">
        <v>342.78</v>
      </c>
      <c r="AE96">
        <v>0</v>
      </c>
      <c r="AF96">
        <v>0</v>
      </c>
      <c r="AG96">
        <v>0</v>
      </c>
      <c r="AH96">
        <v>9.18</v>
      </c>
      <c r="AI96">
        <v>1</v>
      </c>
      <c r="AJ96">
        <v>1</v>
      </c>
      <c r="AK96">
        <v>1</v>
      </c>
      <c r="AL96">
        <v>37.34</v>
      </c>
      <c r="AN96">
        <v>0</v>
      </c>
      <c r="AO96">
        <v>1</v>
      </c>
      <c r="AP96">
        <v>1</v>
      </c>
      <c r="AQ96">
        <v>0</v>
      </c>
      <c r="AR96">
        <v>0</v>
      </c>
      <c r="AT96">
        <v>35.5</v>
      </c>
      <c r="AU96" t="s">
        <v>118</v>
      </c>
      <c r="AV96">
        <v>1</v>
      </c>
      <c r="AW96">
        <v>2</v>
      </c>
      <c r="AX96">
        <v>55667405</v>
      </c>
      <c r="AY96">
        <v>1</v>
      </c>
      <c r="AZ96">
        <v>0</v>
      </c>
      <c r="BA96">
        <v>99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Y96*Source!I90</f>
        <v>4.245799999999999</v>
      </c>
      <c r="CY96">
        <f>AD96</f>
        <v>342.78</v>
      </c>
      <c r="CZ96">
        <f>AH96</f>
        <v>9.18</v>
      </c>
      <c r="DA96">
        <f>AL96</f>
        <v>37.34</v>
      </c>
      <c r="DB96">
        <f>ROUND((ROUND(AT96*CZ96,2)*ROUND(1.15,7)),2)</f>
        <v>374.77</v>
      </c>
      <c r="DC96">
        <f>ROUND((ROUND(AT96*AG96,2)*ROUND(1.15,7)),2)</f>
        <v>0</v>
      </c>
    </row>
    <row r="97" spans="1:107" ht="12.75">
      <c r="A97">
        <f>ROW(Source!A90)</f>
        <v>90</v>
      </c>
      <c r="B97">
        <v>55655399</v>
      </c>
      <c r="C97">
        <v>55667404</v>
      </c>
      <c r="D97">
        <v>49459566</v>
      </c>
      <c r="E97">
        <v>58</v>
      </c>
      <c r="F97">
        <v>1</v>
      </c>
      <c r="G97">
        <v>1</v>
      </c>
      <c r="H97">
        <v>1</v>
      </c>
      <c r="I97" t="s">
        <v>289</v>
      </c>
      <c r="K97" t="s">
        <v>278</v>
      </c>
      <c r="L97">
        <v>1191</v>
      </c>
      <c r="N97">
        <v>1013</v>
      </c>
      <c r="O97" t="s">
        <v>270</v>
      </c>
      <c r="P97" t="s">
        <v>270</v>
      </c>
      <c r="Q97">
        <v>1</v>
      </c>
      <c r="W97">
        <v>0</v>
      </c>
      <c r="X97">
        <v>-1173606021</v>
      </c>
      <c r="Y97">
        <v>1.075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1</v>
      </c>
      <c r="AJ97">
        <v>1</v>
      </c>
      <c r="AK97">
        <v>37.34</v>
      </c>
      <c r="AL97">
        <v>1</v>
      </c>
      <c r="AN97">
        <v>0</v>
      </c>
      <c r="AO97">
        <v>1</v>
      </c>
      <c r="AP97">
        <v>1</v>
      </c>
      <c r="AQ97">
        <v>0</v>
      </c>
      <c r="AR97">
        <v>0</v>
      </c>
      <c r="AT97">
        <v>0.86</v>
      </c>
      <c r="AU97" t="s">
        <v>117</v>
      </c>
      <c r="AV97">
        <v>2</v>
      </c>
      <c r="AW97">
        <v>2</v>
      </c>
      <c r="AX97">
        <v>55667406</v>
      </c>
      <c r="AY97">
        <v>1</v>
      </c>
      <c r="AZ97">
        <v>0</v>
      </c>
      <c r="BA97">
        <v>100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Y97*Source!I90</f>
        <v>0.1118</v>
      </c>
      <c r="CY97">
        <f>AD97</f>
        <v>0</v>
      </c>
      <c r="CZ97">
        <f>AH97</f>
        <v>0</v>
      </c>
      <c r="DA97">
        <f>AL97</f>
        <v>1</v>
      </c>
      <c r="DB97">
        <f>ROUND((ROUND(AT97*CZ97,2)*ROUND(1.25,7)),2)</f>
        <v>0</v>
      </c>
      <c r="DC97">
        <f>ROUND((ROUND(AT97*AG97,2)*ROUND(1.25,7)),2)</f>
        <v>0</v>
      </c>
    </row>
    <row r="98" spans="1:107" ht="12.75">
      <c r="A98">
        <f>ROW(Source!A90)</f>
        <v>90</v>
      </c>
      <c r="B98">
        <v>55655399</v>
      </c>
      <c r="C98">
        <v>55667404</v>
      </c>
      <c r="D98">
        <v>49620286</v>
      </c>
      <c r="E98">
        <v>1</v>
      </c>
      <c r="F98">
        <v>1</v>
      </c>
      <c r="G98">
        <v>1</v>
      </c>
      <c r="H98">
        <v>2</v>
      </c>
      <c r="I98" t="s">
        <v>290</v>
      </c>
      <c r="J98" t="s">
        <v>291</v>
      </c>
      <c r="K98" t="s">
        <v>292</v>
      </c>
      <c r="L98">
        <v>1368</v>
      </c>
      <c r="N98">
        <v>1011</v>
      </c>
      <c r="O98" t="s">
        <v>274</v>
      </c>
      <c r="P98" t="s">
        <v>274</v>
      </c>
      <c r="Q98">
        <v>1</v>
      </c>
      <c r="W98">
        <v>0</v>
      </c>
      <c r="X98">
        <v>-1554407757</v>
      </c>
      <c r="Y98">
        <v>0.7625</v>
      </c>
      <c r="AA98">
        <v>0</v>
      </c>
      <c r="AB98">
        <v>1143.94</v>
      </c>
      <c r="AC98">
        <v>504.09</v>
      </c>
      <c r="AD98">
        <v>0</v>
      </c>
      <c r="AE98">
        <v>0</v>
      </c>
      <c r="AF98">
        <v>86.4</v>
      </c>
      <c r="AG98">
        <v>13.5</v>
      </c>
      <c r="AH98">
        <v>0</v>
      </c>
      <c r="AI98">
        <v>1</v>
      </c>
      <c r="AJ98">
        <v>13.24</v>
      </c>
      <c r="AK98">
        <v>37.34</v>
      </c>
      <c r="AL98">
        <v>1</v>
      </c>
      <c r="AN98">
        <v>0</v>
      </c>
      <c r="AO98">
        <v>1</v>
      </c>
      <c r="AP98">
        <v>1</v>
      </c>
      <c r="AQ98">
        <v>0</v>
      </c>
      <c r="AR98">
        <v>0</v>
      </c>
      <c r="AT98">
        <v>0.61</v>
      </c>
      <c r="AU98" t="s">
        <v>117</v>
      </c>
      <c r="AV98">
        <v>0</v>
      </c>
      <c r="AW98">
        <v>2</v>
      </c>
      <c r="AX98">
        <v>55667407</v>
      </c>
      <c r="AY98">
        <v>1</v>
      </c>
      <c r="AZ98">
        <v>0</v>
      </c>
      <c r="BA98">
        <v>101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Y98*Source!I90</f>
        <v>0.0793</v>
      </c>
      <c r="CY98">
        <f>AB98</f>
        <v>1143.94</v>
      </c>
      <c r="CZ98">
        <f>AF98</f>
        <v>86.4</v>
      </c>
      <c r="DA98">
        <f>AJ98</f>
        <v>13.24</v>
      </c>
      <c r="DB98">
        <f>ROUND((ROUND(AT98*CZ98,2)*ROUND(1.25,7)),2)</f>
        <v>65.88</v>
      </c>
      <c r="DC98">
        <f>ROUND((ROUND(AT98*AG98,2)*ROUND(1.25,7)),2)</f>
        <v>10.3</v>
      </c>
    </row>
    <row r="99" spans="1:107" ht="12.75">
      <c r="A99">
        <f>ROW(Source!A90)</f>
        <v>90</v>
      </c>
      <c r="B99">
        <v>55655399</v>
      </c>
      <c r="C99">
        <v>55667404</v>
      </c>
      <c r="D99">
        <v>49620344</v>
      </c>
      <c r="E99">
        <v>1</v>
      </c>
      <c r="F99">
        <v>1</v>
      </c>
      <c r="G99">
        <v>1</v>
      </c>
      <c r="H99">
        <v>2</v>
      </c>
      <c r="I99" t="s">
        <v>323</v>
      </c>
      <c r="J99" t="s">
        <v>324</v>
      </c>
      <c r="K99" t="s">
        <v>325</v>
      </c>
      <c r="L99">
        <v>1368</v>
      </c>
      <c r="N99">
        <v>1011</v>
      </c>
      <c r="O99" t="s">
        <v>274</v>
      </c>
      <c r="P99" t="s">
        <v>274</v>
      </c>
      <c r="Q99">
        <v>1</v>
      </c>
      <c r="W99">
        <v>0</v>
      </c>
      <c r="X99">
        <v>30216853</v>
      </c>
      <c r="Y99">
        <v>0.125</v>
      </c>
      <c r="AA99">
        <v>0</v>
      </c>
      <c r="AB99">
        <v>1527.9</v>
      </c>
      <c r="AC99">
        <v>504.09</v>
      </c>
      <c r="AD99">
        <v>0</v>
      </c>
      <c r="AE99">
        <v>0</v>
      </c>
      <c r="AF99">
        <v>115.4</v>
      </c>
      <c r="AG99">
        <v>13.5</v>
      </c>
      <c r="AH99">
        <v>0</v>
      </c>
      <c r="AI99">
        <v>1</v>
      </c>
      <c r="AJ99">
        <v>13.24</v>
      </c>
      <c r="AK99">
        <v>37.34</v>
      </c>
      <c r="AL99">
        <v>1</v>
      </c>
      <c r="AN99">
        <v>0</v>
      </c>
      <c r="AO99">
        <v>1</v>
      </c>
      <c r="AP99">
        <v>1</v>
      </c>
      <c r="AQ99">
        <v>0</v>
      </c>
      <c r="AR99">
        <v>0</v>
      </c>
      <c r="AT99">
        <v>0.1</v>
      </c>
      <c r="AU99" t="s">
        <v>117</v>
      </c>
      <c r="AV99">
        <v>0</v>
      </c>
      <c r="AW99">
        <v>2</v>
      </c>
      <c r="AX99">
        <v>55667408</v>
      </c>
      <c r="AY99">
        <v>1</v>
      </c>
      <c r="AZ99">
        <v>0</v>
      </c>
      <c r="BA99">
        <v>102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Y99*Source!I90</f>
        <v>0.013</v>
      </c>
      <c r="CY99">
        <f>AB99</f>
        <v>1527.9</v>
      </c>
      <c r="CZ99">
        <f>AF99</f>
        <v>115.4</v>
      </c>
      <c r="DA99">
        <f>AJ99</f>
        <v>13.24</v>
      </c>
      <c r="DB99">
        <f>ROUND((ROUND(AT99*CZ99,2)*ROUND(1.25,7)),2)</f>
        <v>14.43</v>
      </c>
      <c r="DC99">
        <f>ROUND((ROUND(AT99*AG99,2)*ROUND(1.25,7)),2)</f>
        <v>1.69</v>
      </c>
    </row>
    <row r="100" spans="1:107" ht="12.75">
      <c r="A100">
        <f>ROW(Source!A90)</f>
        <v>90</v>
      </c>
      <c r="B100">
        <v>55655399</v>
      </c>
      <c r="C100">
        <v>55667404</v>
      </c>
      <c r="D100">
        <v>49621268</v>
      </c>
      <c r="E100">
        <v>1</v>
      </c>
      <c r="F100">
        <v>1</v>
      </c>
      <c r="G100">
        <v>1</v>
      </c>
      <c r="H100">
        <v>2</v>
      </c>
      <c r="I100" t="s">
        <v>304</v>
      </c>
      <c r="J100" t="s">
        <v>305</v>
      </c>
      <c r="K100" t="s">
        <v>306</v>
      </c>
      <c r="L100">
        <v>1368</v>
      </c>
      <c r="N100">
        <v>1011</v>
      </c>
      <c r="O100" t="s">
        <v>274</v>
      </c>
      <c r="P100" t="s">
        <v>274</v>
      </c>
      <c r="Q100">
        <v>1</v>
      </c>
      <c r="W100">
        <v>0</v>
      </c>
      <c r="X100">
        <v>1862470278</v>
      </c>
      <c r="Y100">
        <v>0.1875</v>
      </c>
      <c r="AA100">
        <v>0</v>
      </c>
      <c r="AB100">
        <v>870</v>
      </c>
      <c r="AC100">
        <v>433.14</v>
      </c>
      <c r="AD100">
        <v>0</v>
      </c>
      <c r="AE100">
        <v>0</v>
      </c>
      <c r="AF100">
        <v>65.71</v>
      </c>
      <c r="AG100">
        <v>11.6</v>
      </c>
      <c r="AH100">
        <v>0</v>
      </c>
      <c r="AI100">
        <v>1</v>
      </c>
      <c r="AJ100">
        <v>13.24</v>
      </c>
      <c r="AK100">
        <v>37.34</v>
      </c>
      <c r="AL100">
        <v>1</v>
      </c>
      <c r="AN100">
        <v>0</v>
      </c>
      <c r="AO100">
        <v>1</v>
      </c>
      <c r="AP100">
        <v>1</v>
      </c>
      <c r="AQ100">
        <v>0</v>
      </c>
      <c r="AR100">
        <v>0</v>
      </c>
      <c r="AT100">
        <v>0.15</v>
      </c>
      <c r="AU100" t="s">
        <v>117</v>
      </c>
      <c r="AV100">
        <v>0</v>
      </c>
      <c r="AW100">
        <v>2</v>
      </c>
      <c r="AX100">
        <v>55667409</v>
      </c>
      <c r="AY100">
        <v>1</v>
      </c>
      <c r="AZ100">
        <v>0</v>
      </c>
      <c r="BA100">
        <v>103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Y100*Source!I90</f>
        <v>0.0195</v>
      </c>
      <c r="CY100">
        <f>AB100</f>
        <v>870</v>
      </c>
      <c r="CZ100">
        <f>AF100</f>
        <v>65.71</v>
      </c>
      <c r="DA100">
        <f>AJ100</f>
        <v>13.24</v>
      </c>
      <c r="DB100">
        <f>ROUND((ROUND(AT100*CZ100,2)*ROUND(1.25,7)),2)</f>
        <v>12.33</v>
      </c>
      <c r="DC100">
        <f>ROUND((ROUND(AT100*AG100,2)*ROUND(1.25,7)),2)</f>
        <v>2.18</v>
      </c>
    </row>
    <row r="101" spans="1:107" ht="12.75">
      <c r="A101">
        <f>ROW(Source!A90)</f>
        <v>90</v>
      </c>
      <c r="B101">
        <v>55655399</v>
      </c>
      <c r="C101">
        <v>55667404</v>
      </c>
      <c r="D101">
        <v>49470012</v>
      </c>
      <c r="E101">
        <v>1</v>
      </c>
      <c r="F101">
        <v>1</v>
      </c>
      <c r="G101">
        <v>1</v>
      </c>
      <c r="H101">
        <v>3</v>
      </c>
      <c r="I101" t="s">
        <v>326</v>
      </c>
      <c r="J101" t="s">
        <v>327</v>
      </c>
      <c r="K101" t="s">
        <v>328</v>
      </c>
      <c r="L101">
        <v>1346</v>
      </c>
      <c r="N101">
        <v>1009</v>
      </c>
      <c r="O101" t="s">
        <v>329</v>
      </c>
      <c r="P101" t="s">
        <v>329</v>
      </c>
      <c r="Q101">
        <v>1</v>
      </c>
      <c r="W101">
        <v>0</v>
      </c>
      <c r="X101">
        <v>795665641</v>
      </c>
      <c r="Y101">
        <v>32.49</v>
      </c>
      <c r="AA101">
        <v>40.92</v>
      </c>
      <c r="AB101">
        <v>0</v>
      </c>
      <c r="AC101">
        <v>0</v>
      </c>
      <c r="AD101">
        <v>0</v>
      </c>
      <c r="AE101">
        <v>6.09</v>
      </c>
      <c r="AF101">
        <v>0</v>
      </c>
      <c r="AG101">
        <v>0</v>
      </c>
      <c r="AH101">
        <v>0</v>
      </c>
      <c r="AI101">
        <v>6.72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T101">
        <v>32.49</v>
      </c>
      <c r="AV101">
        <v>0</v>
      </c>
      <c r="AW101">
        <v>2</v>
      </c>
      <c r="AX101">
        <v>55667410</v>
      </c>
      <c r="AY101">
        <v>1</v>
      </c>
      <c r="AZ101">
        <v>0</v>
      </c>
      <c r="BA101">
        <v>104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Y101*Source!I90</f>
        <v>3.37896</v>
      </c>
      <c r="CY101">
        <f>AA101</f>
        <v>40.92</v>
      </c>
      <c r="CZ101">
        <f>AE101</f>
        <v>6.09</v>
      </c>
      <c r="DA101">
        <f>AI101</f>
        <v>6.72</v>
      </c>
      <c r="DB101">
        <f aca="true" t="shared" si="2" ref="DB101:DB108">ROUND(ROUND(AT101*CZ101,2),2)</f>
        <v>197.86</v>
      </c>
      <c r="DC101">
        <f aca="true" t="shared" si="3" ref="DC101:DC108">ROUND(ROUND(AT101*AG101,2),2)</f>
        <v>0</v>
      </c>
    </row>
    <row r="102" spans="1:107" ht="12.75">
      <c r="A102">
        <f>ROW(Source!A90)</f>
        <v>90</v>
      </c>
      <c r="B102">
        <v>55655399</v>
      </c>
      <c r="C102">
        <v>55667404</v>
      </c>
      <c r="D102">
        <v>49476762</v>
      </c>
      <c r="E102">
        <v>1</v>
      </c>
      <c r="F102">
        <v>1</v>
      </c>
      <c r="G102">
        <v>1</v>
      </c>
      <c r="H102">
        <v>3</v>
      </c>
      <c r="I102" t="s">
        <v>332</v>
      </c>
      <c r="J102" t="s">
        <v>333</v>
      </c>
      <c r="K102" t="s">
        <v>334</v>
      </c>
      <c r="L102">
        <v>1339</v>
      </c>
      <c r="N102">
        <v>1007</v>
      </c>
      <c r="O102" t="s">
        <v>50</v>
      </c>
      <c r="P102" t="s">
        <v>50</v>
      </c>
      <c r="Q102">
        <v>1</v>
      </c>
      <c r="W102">
        <v>0</v>
      </c>
      <c r="X102">
        <v>-1924676840</v>
      </c>
      <c r="Y102">
        <v>0.51</v>
      </c>
      <c r="AA102">
        <v>3493.06</v>
      </c>
      <c r="AB102">
        <v>0</v>
      </c>
      <c r="AC102">
        <v>0</v>
      </c>
      <c r="AD102">
        <v>0</v>
      </c>
      <c r="AE102">
        <v>519.8</v>
      </c>
      <c r="AF102">
        <v>0</v>
      </c>
      <c r="AG102">
        <v>0</v>
      </c>
      <c r="AH102">
        <v>0</v>
      </c>
      <c r="AI102">
        <v>6.72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T102">
        <v>0.51</v>
      </c>
      <c r="AV102">
        <v>0</v>
      </c>
      <c r="AW102">
        <v>2</v>
      </c>
      <c r="AX102">
        <v>55667411</v>
      </c>
      <c r="AY102">
        <v>1</v>
      </c>
      <c r="AZ102">
        <v>0</v>
      </c>
      <c r="BA102">
        <v>105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Y102*Source!I90</f>
        <v>0.05304</v>
      </c>
      <c r="CY102">
        <f>AA102</f>
        <v>3493.06</v>
      </c>
      <c r="CZ102">
        <f>AE102</f>
        <v>519.8</v>
      </c>
      <c r="DA102">
        <f>AI102</f>
        <v>6.72</v>
      </c>
      <c r="DB102">
        <f t="shared" si="2"/>
        <v>265.1</v>
      </c>
      <c r="DC102">
        <f t="shared" si="3"/>
        <v>0</v>
      </c>
    </row>
    <row r="103" spans="1:107" ht="12.75">
      <c r="A103">
        <f>ROW(Source!A90)</f>
        <v>90</v>
      </c>
      <c r="B103">
        <v>55655399</v>
      </c>
      <c r="C103">
        <v>55667404</v>
      </c>
      <c r="D103">
        <v>53668865</v>
      </c>
      <c r="E103">
        <v>1</v>
      </c>
      <c r="F103">
        <v>1</v>
      </c>
      <c r="G103">
        <v>1</v>
      </c>
      <c r="H103">
        <v>3</v>
      </c>
      <c r="I103" t="s">
        <v>157</v>
      </c>
      <c r="J103" t="s">
        <v>159</v>
      </c>
      <c r="K103" t="s">
        <v>158</v>
      </c>
      <c r="L103">
        <v>1327</v>
      </c>
      <c r="N103">
        <v>1005</v>
      </c>
      <c r="O103" t="s">
        <v>154</v>
      </c>
      <c r="P103" t="s">
        <v>154</v>
      </c>
      <c r="Q103">
        <v>1</v>
      </c>
      <c r="W103">
        <v>0</v>
      </c>
      <c r="X103">
        <v>1866959067</v>
      </c>
      <c r="Y103">
        <v>114</v>
      </c>
      <c r="AA103">
        <v>168.6</v>
      </c>
      <c r="AB103">
        <v>0</v>
      </c>
      <c r="AC103">
        <v>0</v>
      </c>
      <c r="AD103">
        <v>0</v>
      </c>
      <c r="AE103">
        <v>25.09</v>
      </c>
      <c r="AF103">
        <v>0</v>
      </c>
      <c r="AG103">
        <v>0</v>
      </c>
      <c r="AH103">
        <v>0</v>
      </c>
      <c r="AI103">
        <v>6.72</v>
      </c>
      <c r="AJ103">
        <v>1</v>
      </c>
      <c r="AK103">
        <v>1</v>
      </c>
      <c r="AL103">
        <v>1</v>
      </c>
      <c r="AN103">
        <v>0</v>
      </c>
      <c r="AO103">
        <v>0</v>
      </c>
      <c r="AP103">
        <v>0</v>
      </c>
      <c r="AQ103">
        <v>0</v>
      </c>
      <c r="AR103">
        <v>0</v>
      </c>
      <c r="AT103">
        <v>114</v>
      </c>
      <c r="AV103">
        <v>0</v>
      </c>
      <c r="AW103">
        <v>1</v>
      </c>
      <c r="AX103">
        <v>-1</v>
      </c>
      <c r="AY103">
        <v>0</v>
      </c>
      <c r="AZ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Y103*Source!I90</f>
        <v>11.856</v>
      </c>
      <c r="CY103">
        <f>AA103</f>
        <v>168.6</v>
      </c>
      <c r="CZ103">
        <f>AE103</f>
        <v>25.09</v>
      </c>
      <c r="DA103">
        <f>AI103</f>
        <v>6.72</v>
      </c>
      <c r="DB103">
        <f t="shared" si="2"/>
        <v>2860.26</v>
      </c>
      <c r="DC103">
        <f t="shared" si="3"/>
        <v>0</v>
      </c>
    </row>
    <row r="104" spans="1:107" ht="12.75">
      <c r="A104">
        <f>ROW(Source!A90)</f>
        <v>90</v>
      </c>
      <c r="B104">
        <v>55655399</v>
      </c>
      <c r="C104">
        <v>55667404</v>
      </c>
      <c r="D104">
        <v>53668866</v>
      </c>
      <c r="E104">
        <v>1</v>
      </c>
      <c r="F104">
        <v>1</v>
      </c>
      <c r="G104">
        <v>1</v>
      </c>
      <c r="H104">
        <v>3</v>
      </c>
      <c r="I104" t="s">
        <v>152</v>
      </c>
      <c r="J104" t="s">
        <v>155</v>
      </c>
      <c r="K104" t="s">
        <v>153</v>
      </c>
      <c r="L104">
        <v>1327</v>
      </c>
      <c r="N104">
        <v>1005</v>
      </c>
      <c r="O104" t="s">
        <v>154</v>
      </c>
      <c r="P104" t="s">
        <v>154</v>
      </c>
      <c r="Q104">
        <v>1</v>
      </c>
      <c r="W104">
        <v>0</v>
      </c>
      <c r="X104">
        <v>-211967687</v>
      </c>
      <c r="Y104">
        <v>116</v>
      </c>
      <c r="AA104">
        <v>154.96</v>
      </c>
      <c r="AB104">
        <v>0</v>
      </c>
      <c r="AC104">
        <v>0</v>
      </c>
      <c r="AD104">
        <v>0</v>
      </c>
      <c r="AE104">
        <v>23.06</v>
      </c>
      <c r="AF104">
        <v>0</v>
      </c>
      <c r="AG104">
        <v>0</v>
      </c>
      <c r="AH104">
        <v>0</v>
      </c>
      <c r="AI104">
        <v>6.72</v>
      </c>
      <c r="AJ104">
        <v>1</v>
      </c>
      <c r="AK104">
        <v>1</v>
      </c>
      <c r="AL104">
        <v>1</v>
      </c>
      <c r="AN104">
        <v>0</v>
      </c>
      <c r="AO104">
        <v>0</v>
      </c>
      <c r="AP104">
        <v>0</v>
      </c>
      <c r="AQ104">
        <v>0</v>
      </c>
      <c r="AR104">
        <v>0</v>
      </c>
      <c r="AT104">
        <v>116</v>
      </c>
      <c r="AV104">
        <v>0</v>
      </c>
      <c r="AW104">
        <v>1</v>
      </c>
      <c r="AX104">
        <v>-1</v>
      </c>
      <c r="AY104">
        <v>0</v>
      </c>
      <c r="AZ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Y104*Source!I90</f>
        <v>12.064</v>
      </c>
      <c r="CY104">
        <f>AA104</f>
        <v>154.96</v>
      </c>
      <c r="CZ104">
        <f>AE104</f>
        <v>23.06</v>
      </c>
      <c r="DA104">
        <f>AI104</f>
        <v>6.72</v>
      </c>
      <c r="DB104">
        <f t="shared" si="2"/>
        <v>2674.96</v>
      </c>
      <c r="DC104">
        <f t="shared" si="3"/>
        <v>0</v>
      </c>
    </row>
    <row r="105" spans="1:107" ht="12.75">
      <c r="A105">
        <f>ROW(Source!A130)</f>
        <v>130</v>
      </c>
      <c r="B105">
        <v>55655398</v>
      </c>
      <c r="C105">
        <v>55655836</v>
      </c>
      <c r="D105">
        <v>44800161</v>
      </c>
      <c r="E105">
        <v>54</v>
      </c>
      <c r="F105">
        <v>1</v>
      </c>
      <c r="G105">
        <v>1</v>
      </c>
      <c r="H105">
        <v>1</v>
      </c>
      <c r="I105" t="s">
        <v>335</v>
      </c>
      <c r="K105" t="s">
        <v>336</v>
      </c>
      <c r="L105">
        <v>1191</v>
      </c>
      <c r="N105">
        <v>1013</v>
      </c>
      <c r="O105" t="s">
        <v>270</v>
      </c>
      <c r="P105" t="s">
        <v>270</v>
      </c>
      <c r="Q105">
        <v>1</v>
      </c>
      <c r="W105">
        <v>0</v>
      </c>
      <c r="X105">
        <v>-576067263</v>
      </c>
      <c r="Y105">
        <v>1.03</v>
      </c>
      <c r="AA105">
        <v>0</v>
      </c>
      <c r="AB105">
        <v>0</v>
      </c>
      <c r="AC105">
        <v>0</v>
      </c>
      <c r="AD105">
        <v>7.19</v>
      </c>
      <c r="AE105">
        <v>0</v>
      </c>
      <c r="AF105">
        <v>0</v>
      </c>
      <c r="AG105">
        <v>0</v>
      </c>
      <c r="AH105">
        <v>7.19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T105">
        <v>1.03</v>
      </c>
      <c r="AV105">
        <v>1</v>
      </c>
      <c r="AW105">
        <v>2</v>
      </c>
      <c r="AX105">
        <v>55655839</v>
      </c>
      <c r="AY105">
        <v>1</v>
      </c>
      <c r="AZ105">
        <v>0</v>
      </c>
      <c r="BA105">
        <v>107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Y105*Source!I130</f>
        <v>5.562</v>
      </c>
      <c r="CY105">
        <f>AD105</f>
        <v>7.19</v>
      </c>
      <c r="CZ105">
        <f>AH105</f>
        <v>7.19</v>
      </c>
      <c r="DA105">
        <f>AL105</f>
        <v>1</v>
      </c>
      <c r="DB105">
        <f t="shared" si="2"/>
        <v>7.41</v>
      </c>
      <c r="DC105">
        <f t="shared" si="3"/>
        <v>0</v>
      </c>
    </row>
    <row r="106" spans="1:107" ht="12.75">
      <c r="A106">
        <f>ROW(Source!A130)</f>
        <v>130</v>
      </c>
      <c r="B106">
        <v>55655398</v>
      </c>
      <c r="C106">
        <v>55655836</v>
      </c>
      <c r="D106">
        <v>44816375</v>
      </c>
      <c r="E106">
        <v>1</v>
      </c>
      <c r="F106">
        <v>1</v>
      </c>
      <c r="G106">
        <v>1</v>
      </c>
      <c r="H106">
        <v>3</v>
      </c>
      <c r="I106" t="s">
        <v>337</v>
      </c>
      <c r="J106" t="s">
        <v>338</v>
      </c>
      <c r="K106" t="s">
        <v>339</v>
      </c>
      <c r="L106">
        <v>1425</v>
      </c>
      <c r="N106">
        <v>1013</v>
      </c>
      <c r="O106" t="s">
        <v>340</v>
      </c>
      <c r="P106" t="s">
        <v>340</v>
      </c>
      <c r="Q106">
        <v>1</v>
      </c>
      <c r="W106">
        <v>0</v>
      </c>
      <c r="X106">
        <v>1143101474</v>
      </c>
      <c r="Y106">
        <v>0.2</v>
      </c>
      <c r="AA106">
        <v>82</v>
      </c>
      <c r="AB106">
        <v>0</v>
      </c>
      <c r="AC106">
        <v>0</v>
      </c>
      <c r="AD106">
        <v>0</v>
      </c>
      <c r="AE106">
        <v>82</v>
      </c>
      <c r="AF106">
        <v>0</v>
      </c>
      <c r="AG106">
        <v>0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T106">
        <v>0.2</v>
      </c>
      <c r="AV106">
        <v>0</v>
      </c>
      <c r="AW106">
        <v>2</v>
      </c>
      <c r="AX106">
        <v>55655840</v>
      </c>
      <c r="AY106">
        <v>1</v>
      </c>
      <c r="AZ106">
        <v>0</v>
      </c>
      <c r="BA106">
        <v>108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Y106*Source!I130</f>
        <v>1.08</v>
      </c>
      <c r="CY106">
        <f>AA106</f>
        <v>82</v>
      </c>
      <c r="CZ106">
        <f>AE106</f>
        <v>82</v>
      </c>
      <c r="DA106">
        <f>AI106</f>
        <v>1</v>
      </c>
      <c r="DB106">
        <f t="shared" si="2"/>
        <v>16.4</v>
      </c>
      <c r="DC106">
        <f t="shared" si="3"/>
        <v>0</v>
      </c>
    </row>
    <row r="107" spans="1:107" ht="12.75">
      <c r="A107">
        <f>ROW(Source!A131)</f>
        <v>131</v>
      </c>
      <c r="B107">
        <v>55655399</v>
      </c>
      <c r="C107">
        <v>55655836</v>
      </c>
      <c r="D107">
        <v>44800161</v>
      </c>
      <c r="E107">
        <v>54</v>
      </c>
      <c r="F107">
        <v>1</v>
      </c>
      <c r="G107">
        <v>1</v>
      </c>
      <c r="H107">
        <v>1</v>
      </c>
      <c r="I107" t="s">
        <v>335</v>
      </c>
      <c r="K107" t="s">
        <v>336</v>
      </c>
      <c r="L107">
        <v>1191</v>
      </c>
      <c r="N107">
        <v>1013</v>
      </c>
      <c r="O107" t="s">
        <v>270</v>
      </c>
      <c r="P107" t="s">
        <v>270</v>
      </c>
      <c r="Q107">
        <v>1</v>
      </c>
      <c r="W107">
        <v>0</v>
      </c>
      <c r="X107">
        <v>-576067263</v>
      </c>
      <c r="Y107">
        <v>1.03</v>
      </c>
      <c r="AA107">
        <v>0</v>
      </c>
      <c r="AB107">
        <v>0</v>
      </c>
      <c r="AC107">
        <v>0</v>
      </c>
      <c r="AD107">
        <v>268.47</v>
      </c>
      <c r="AE107">
        <v>0</v>
      </c>
      <c r="AF107">
        <v>0</v>
      </c>
      <c r="AG107">
        <v>0</v>
      </c>
      <c r="AH107">
        <v>7.19</v>
      </c>
      <c r="AI107">
        <v>1</v>
      </c>
      <c r="AJ107">
        <v>1</v>
      </c>
      <c r="AK107">
        <v>1</v>
      </c>
      <c r="AL107">
        <v>37.34</v>
      </c>
      <c r="AN107">
        <v>0</v>
      </c>
      <c r="AO107">
        <v>1</v>
      </c>
      <c r="AP107">
        <v>0</v>
      </c>
      <c r="AQ107">
        <v>0</v>
      </c>
      <c r="AR107">
        <v>0</v>
      </c>
      <c r="AT107">
        <v>1.03</v>
      </c>
      <c r="AV107">
        <v>1</v>
      </c>
      <c r="AW107">
        <v>2</v>
      </c>
      <c r="AX107">
        <v>55655839</v>
      </c>
      <c r="AY107">
        <v>1</v>
      </c>
      <c r="AZ107">
        <v>0</v>
      </c>
      <c r="BA107">
        <v>109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Y107*Source!I131</f>
        <v>5.562</v>
      </c>
      <c r="CY107">
        <f>AD107</f>
        <v>268.47</v>
      </c>
      <c r="CZ107">
        <f>AH107</f>
        <v>7.19</v>
      </c>
      <c r="DA107">
        <f>AL107</f>
        <v>37.34</v>
      </c>
      <c r="DB107">
        <f t="shared" si="2"/>
        <v>7.41</v>
      </c>
      <c r="DC107">
        <f t="shared" si="3"/>
        <v>0</v>
      </c>
    </row>
    <row r="108" spans="1:107" ht="12.75">
      <c r="A108">
        <f>ROW(Source!A131)</f>
        <v>131</v>
      </c>
      <c r="B108">
        <v>55655399</v>
      </c>
      <c r="C108">
        <v>55655836</v>
      </c>
      <c r="D108">
        <v>44816375</v>
      </c>
      <c r="E108">
        <v>1</v>
      </c>
      <c r="F108">
        <v>1</v>
      </c>
      <c r="G108">
        <v>1</v>
      </c>
      <c r="H108">
        <v>3</v>
      </c>
      <c r="I108" t="s">
        <v>337</v>
      </c>
      <c r="J108" t="s">
        <v>338</v>
      </c>
      <c r="K108" t="s">
        <v>339</v>
      </c>
      <c r="L108">
        <v>1425</v>
      </c>
      <c r="N108">
        <v>1013</v>
      </c>
      <c r="O108" t="s">
        <v>340</v>
      </c>
      <c r="P108" t="s">
        <v>340</v>
      </c>
      <c r="Q108">
        <v>1</v>
      </c>
      <c r="W108">
        <v>0</v>
      </c>
      <c r="X108">
        <v>1143101474</v>
      </c>
      <c r="Y108">
        <v>0.2</v>
      </c>
      <c r="AA108">
        <v>551.04</v>
      </c>
      <c r="AB108">
        <v>0</v>
      </c>
      <c r="AC108">
        <v>0</v>
      </c>
      <c r="AD108">
        <v>0</v>
      </c>
      <c r="AE108">
        <v>82</v>
      </c>
      <c r="AF108">
        <v>0</v>
      </c>
      <c r="AG108">
        <v>0</v>
      </c>
      <c r="AH108">
        <v>0</v>
      </c>
      <c r="AI108">
        <v>6.72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T108">
        <v>0.2</v>
      </c>
      <c r="AV108">
        <v>0</v>
      </c>
      <c r="AW108">
        <v>2</v>
      </c>
      <c r="AX108">
        <v>55655840</v>
      </c>
      <c r="AY108">
        <v>1</v>
      </c>
      <c r="AZ108">
        <v>0</v>
      </c>
      <c r="BA108">
        <v>110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Y108*Source!I131</f>
        <v>1.08</v>
      </c>
      <c r="CY108">
        <f>AA108</f>
        <v>551.04</v>
      </c>
      <c r="CZ108">
        <f>AE108</f>
        <v>82</v>
      </c>
      <c r="DA108">
        <f>AI108</f>
        <v>6.72</v>
      </c>
      <c r="DB108">
        <f t="shared" si="2"/>
        <v>16.4</v>
      </c>
      <c r="DC108">
        <f t="shared" si="3"/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1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ROW(Source!A28)</f>
        <v>28</v>
      </c>
      <c r="B1">
        <v>55655645</v>
      </c>
      <c r="C1">
        <v>55655642</v>
      </c>
      <c r="D1">
        <v>44800219</v>
      </c>
      <c r="E1">
        <v>54</v>
      </c>
      <c r="F1">
        <v>1</v>
      </c>
      <c r="G1">
        <v>1</v>
      </c>
      <c r="H1">
        <v>1</v>
      </c>
      <c r="I1" t="s">
        <v>268</v>
      </c>
      <c r="K1" t="s">
        <v>269</v>
      </c>
      <c r="L1">
        <v>1191</v>
      </c>
      <c r="N1">
        <v>1013</v>
      </c>
      <c r="O1" t="s">
        <v>270</v>
      </c>
      <c r="P1" t="s">
        <v>270</v>
      </c>
      <c r="Q1">
        <v>1</v>
      </c>
      <c r="X1">
        <v>14.38</v>
      </c>
      <c r="Y1">
        <v>0</v>
      </c>
      <c r="Z1">
        <v>0</v>
      </c>
      <c r="AA1">
        <v>0</v>
      </c>
      <c r="AB1">
        <v>7.8</v>
      </c>
      <c r="AC1">
        <v>0</v>
      </c>
      <c r="AD1">
        <v>1</v>
      </c>
      <c r="AE1">
        <v>1</v>
      </c>
      <c r="AG1">
        <v>14.38</v>
      </c>
      <c r="AH1">
        <v>2</v>
      </c>
      <c r="AI1">
        <v>55655643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ROW(Source!A28)</f>
        <v>28</v>
      </c>
      <c r="B2">
        <v>55655646</v>
      </c>
      <c r="C2">
        <v>55655642</v>
      </c>
      <c r="D2">
        <v>44976395</v>
      </c>
      <c r="E2">
        <v>1</v>
      </c>
      <c r="F2">
        <v>1</v>
      </c>
      <c r="G2">
        <v>1</v>
      </c>
      <c r="H2">
        <v>2</v>
      </c>
      <c r="I2" t="s">
        <v>271</v>
      </c>
      <c r="J2" t="s">
        <v>272</v>
      </c>
      <c r="K2" t="s">
        <v>273</v>
      </c>
      <c r="L2">
        <v>1368</v>
      </c>
      <c r="N2">
        <v>1011</v>
      </c>
      <c r="O2" t="s">
        <v>274</v>
      </c>
      <c r="P2" t="s">
        <v>274</v>
      </c>
      <c r="Q2">
        <v>1</v>
      </c>
      <c r="X2">
        <v>6.22</v>
      </c>
      <c r="Y2">
        <v>0</v>
      </c>
      <c r="Z2">
        <v>6.66</v>
      </c>
      <c r="AA2">
        <v>0</v>
      </c>
      <c r="AB2">
        <v>0</v>
      </c>
      <c r="AC2">
        <v>0</v>
      </c>
      <c r="AD2">
        <v>1</v>
      </c>
      <c r="AE2">
        <v>0</v>
      </c>
      <c r="AG2">
        <v>6.22</v>
      </c>
      <c r="AH2">
        <v>2</v>
      </c>
      <c r="AI2">
        <v>55655644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ROW(Source!A29)</f>
        <v>29</v>
      </c>
      <c r="B3">
        <v>55655645</v>
      </c>
      <c r="C3">
        <v>55655642</v>
      </c>
      <c r="D3">
        <v>44800219</v>
      </c>
      <c r="E3">
        <v>54</v>
      </c>
      <c r="F3">
        <v>1</v>
      </c>
      <c r="G3">
        <v>1</v>
      </c>
      <c r="H3">
        <v>1</v>
      </c>
      <c r="I3" t="s">
        <v>268</v>
      </c>
      <c r="K3" t="s">
        <v>269</v>
      </c>
      <c r="L3">
        <v>1191</v>
      </c>
      <c r="N3">
        <v>1013</v>
      </c>
      <c r="O3" t="s">
        <v>270</v>
      </c>
      <c r="P3" t="s">
        <v>270</v>
      </c>
      <c r="Q3">
        <v>1</v>
      </c>
      <c r="X3">
        <v>14.38</v>
      </c>
      <c r="Y3">
        <v>0</v>
      </c>
      <c r="Z3">
        <v>0</v>
      </c>
      <c r="AA3">
        <v>0</v>
      </c>
      <c r="AB3">
        <v>7.8</v>
      </c>
      <c r="AC3">
        <v>0</v>
      </c>
      <c r="AD3">
        <v>1</v>
      </c>
      <c r="AE3">
        <v>1</v>
      </c>
      <c r="AG3">
        <v>14.38</v>
      </c>
      <c r="AH3">
        <v>2</v>
      </c>
      <c r="AI3">
        <v>55655643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ROW(Source!A29)</f>
        <v>29</v>
      </c>
      <c r="B4">
        <v>55655646</v>
      </c>
      <c r="C4">
        <v>55655642</v>
      </c>
      <c r="D4">
        <v>44976395</v>
      </c>
      <c r="E4">
        <v>1</v>
      </c>
      <c r="F4">
        <v>1</v>
      </c>
      <c r="G4">
        <v>1</v>
      </c>
      <c r="H4">
        <v>2</v>
      </c>
      <c r="I4" t="s">
        <v>271</v>
      </c>
      <c r="J4" t="s">
        <v>272</v>
      </c>
      <c r="K4" t="s">
        <v>273</v>
      </c>
      <c r="L4">
        <v>1368</v>
      </c>
      <c r="N4">
        <v>1011</v>
      </c>
      <c r="O4" t="s">
        <v>274</v>
      </c>
      <c r="P4" t="s">
        <v>274</v>
      </c>
      <c r="Q4">
        <v>1</v>
      </c>
      <c r="X4">
        <v>6.22</v>
      </c>
      <c r="Y4">
        <v>0</v>
      </c>
      <c r="Z4">
        <v>6.66</v>
      </c>
      <c r="AA4">
        <v>0</v>
      </c>
      <c r="AB4">
        <v>0</v>
      </c>
      <c r="AC4">
        <v>0</v>
      </c>
      <c r="AD4">
        <v>1</v>
      </c>
      <c r="AE4">
        <v>0</v>
      </c>
      <c r="AG4">
        <v>6.22</v>
      </c>
      <c r="AH4">
        <v>2</v>
      </c>
      <c r="AI4">
        <v>55655644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ROW(Source!A30)</f>
        <v>30</v>
      </c>
      <c r="B5">
        <v>55655654</v>
      </c>
      <c r="C5">
        <v>55655647</v>
      </c>
      <c r="D5">
        <v>53630041</v>
      </c>
      <c r="E5">
        <v>70</v>
      </c>
      <c r="F5">
        <v>1</v>
      </c>
      <c r="G5">
        <v>1</v>
      </c>
      <c r="H5">
        <v>1</v>
      </c>
      <c r="I5" t="s">
        <v>275</v>
      </c>
      <c r="K5" t="s">
        <v>276</v>
      </c>
      <c r="L5">
        <v>1191</v>
      </c>
      <c r="N5">
        <v>1013</v>
      </c>
      <c r="O5" t="s">
        <v>270</v>
      </c>
      <c r="P5" t="s">
        <v>270</v>
      </c>
      <c r="Q5">
        <v>1</v>
      </c>
      <c r="X5">
        <v>35.6</v>
      </c>
      <c r="Y5">
        <v>0</v>
      </c>
      <c r="Z5">
        <v>0</v>
      </c>
      <c r="AA5">
        <v>0</v>
      </c>
      <c r="AB5">
        <v>7.94</v>
      </c>
      <c r="AC5">
        <v>0</v>
      </c>
      <c r="AD5">
        <v>1</v>
      </c>
      <c r="AE5">
        <v>1</v>
      </c>
      <c r="AF5" t="s">
        <v>41</v>
      </c>
      <c r="AG5">
        <v>28.480000000000004</v>
      </c>
      <c r="AH5">
        <v>2</v>
      </c>
      <c r="AI5">
        <v>55655648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ROW(Source!A30)</f>
        <v>30</v>
      </c>
      <c r="B6">
        <v>55655655</v>
      </c>
      <c r="C6">
        <v>55655647</v>
      </c>
      <c r="D6">
        <v>53630257</v>
      </c>
      <c r="E6">
        <v>70</v>
      </c>
      <c r="F6">
        <v>1</v>
      </c>
      <c r="G6">
        <v>1</v>
      </c>
      <c r="H6">
        <v>1</v>
      </c>
      <c r="I6" t="s">
        <v>277</v>
      </c>
      <c r="K6" t="s">
        <v>278</v>
      </c>
      <c r="L6">
        <v>1191</v>
      </c>
      <c r="N6">
        <v>1013</v>
      </c>
      <c r="O6" t="s">
        <v>270</v>
      </c>
      <c r="P6" t="s">
        <v>270</v>
      </c>
      <c r="Q6">
        <v>1</v>
      </c>
      <c r="X6">
        <v>1.27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2</v>
      </c>
      <c r="AF6" t="s">
        <v>41</v>
      </c>
      <c r="AG6">
        <v>1.016</v>
      </c>
      <c r="AH6">
        <v>2</v>
      </c>
      <c r="AI6">
        <v>55655649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ROW(Source!A30)</f>
        <v>30</v>
      </c>
      <c r="B7">
        <v>55655656</v>
      </c>
      <c r="C7">
        <v>55655647</v>
      </c>
      <c r="D7">
        <v>53792191</v>
      </c>
      <c r="E7">
        <v>1</v>
      </c>
      <c r="F7">
        <v>1</v>
      </c>
      <c r="G7">
        <v>1</v>
      </c>
      <c r="H7">
        <v>2</v>
      </c>
      <c r="I7" t="s">
        <v>279</v>
      </c>
      <c r="J7" t="s">
        <v>280</v>
      </c>
      <c r="K7" t="s">
        <v>281</v>
      </c>
      <c r="L7">
        <v>1367</v>
      </c>
      <c r="N7">
        <v>1011</v>
      </c>
      <c r="O7" t="s">
        <v>282</v>
      </c>
      <c r="P7" t="s">
        <v>282</v>
      </c>
      <c r="Q7">
        <v>1</v>
      </c>
      <c r="X7">
        <v>1.27</v>
      </c>
      <c r="Y7">
        <v>0</v>
      </c>
      <c r="Z7">
        <v>31.26</v>
      </c>
      <c r="AA7">
        <v>13.5</v>
      </c>
      <c r="AB7">
        <v>0</v>
      </c>
      <c r="AC7">
        <v>0</v>
      </c>
      <c r="AD7">
        <v>1</v>
      </c>
      <c r="AE7">
        <v>0</v>
      </c>
      <c r="AF7" t="s">
        <v>41</v>
      </c>
      <c r="AG7">
        <v>1.016</v>
      </c>
      <c r="AH7">
        <v>2</v>
      </c>
      <c r="AI7">
        <v>55655650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ROW(Source!A30)</f>
        <v>30</v>
      </c>
      <c r="B8">
        <v>55655657</v>
      </c>
      <c r="C8">
        <v>55655647</v>
      </c>
      <c r="D8">
        <v>53792275</v>
      </c>
      <c r="E8">
        <v>1</v>
      </c>
      <c r="F8">
        <v>1</v>
      </c>
      <c r="G8">
        <v>1</v>
      </c>
      <c r="H8">
        <v>2</v>
      </c>
      <c r="I8" t="s">
        <v>283</v>
      </c>
      <c r="J8" t="s">
        <v>284</v>
      </c>
      <c r="K8" t="s">
        <v>285</v>
      </c>
      <c r="L8">
        <v>1367</v>
      </c>
      <c r="N8">
        <v>1011</v>
      </c>
      <c r="O8" t="s">
        <v>282</v>
      </c>
      <c r="P8" t="s">
        <v>282</v>
      </c>
      <c r="Q8">
        <v>1</v>
      </c>
      <c r="X8">
        <v>7.82</v>
      </c>
      <c r="Y8">
        <v>0</v>
      </c>
      <c r="Z8">
        <v>0.5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41</v>
      </c>
      <c r="AG8">
        <v>6.256</v>
      </c>
      <c r="AH8">
        <v>2</v>
      </c>
      <c r="AI8">
        <v>55655651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ROW(Source!A30)</f>
        <v>30</v>
      </c>
      <c r="B9">
        <v>55655658</v>
      </c>
      <c r="C9">
        <v>55655647</v>
      </c>
      <c r="D9">
        <v>53642555</v>
      </c>
      <c r="E9">
        <v>1</v>
      </c>
      <c r="F9">
        <v>1</v>
      </c>
      <c r="G9">
        <v>1</v>
      </c>
      <c r="H9">
        <v>3</v>
      </c>
      <c r="I9" t="s">
        <v>48</v>
      </c>
      <c r="J9" t="s">
        <v>51</v>
      </c>
      <c r="K9" t="s">
        <v>49</v>
      </c>
      <c r="L9">
        <v>1339</v>
      </c>
      <c r="N9">
        <v>1007</v>
      </c>
      <c r="O9" t="s">
        <v>50</v>
      </c>
      <c r="P9" t="s">
        <v>50</v>
      </c>
      <c r="Q9">
        <v>1</v>
      </c>
      <c r="X9">
        <v>3.5</v>
      </c>
      <c r="Y9">
        <v>2.44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40</v>
      </c>
      <c r="AG9">
        <v>0</v>
      </c>
      <c r="AH9">
        <v>2</v>
      </c>
      <c r="AI9">
        <v>55655652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ROW(Source!A30)</f>
        <v>30</v>
      </c>
      <c r="B10">
        <v>55655659</v>
      </c>
      <c r="C10">
        <v>55655647</v>
      </c>
      <c r="D10">
        <v>53631137</v>
      </c>
      <c r="E10">
        <v>70</v>
      </c>
      <c r="F10">
        <v>1</v>
      </c>
      <c r="G10">
        <v>1</v>
      </c>
      <c r="H10">
        <v>3</v>
      </c>
      <c r="I10" t="s">
        <v>341</v>
      </c>
      <c r="K10" t="s">
        <v>342</v>
      </c>
      <c r="L10">
        <v>1339</v>
      </c>
      <c r="N10">
        <v>1007</v>
      </c>
      <c r="O10" t="s">
        <v>50</v>
      </c>
      <c r="P10" t="s">
        <v>50</v>
      </c>
      <c r="Q10">
        <v>1</v>
      </c>
      <c r="X10">
        <v>2.04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 t="s">
        <v>40</v>
      </c>
      <c r="AG10">
        <v>0</v>
      </c>
      <c r="AH10">
        <v>3</v>
      </c>
      <c r="AI10">
        <v>-1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ROW(Source!A31)</f>
        <v>31</v>
      </c>
      <c r="B11">
        <v>55655654</v>
      </c>
      <c r="C11">
        <v>55655647</v>
      </c>
      <c r="D11">
        <v>53630041</v>
      </c>
      <c r="E11">
        <v>70</v>
      </c>
      <c r="F11">
        <v>1</v>
      </c>
      <c r="G11">
        <v>1</v>
      </c>
      <c r="H11">
        <v>1</v>
      </c>
      <c r="I11" t="s">
        <v>275</v>
      </c>
      <c r="K11" t="s">
        <v>276</v>
      </c>
      <c r="L11">
        <v>1191</v>
      </c>
      <c r="N11">
        <v>1013</v>
      </c>
      <c r="O11" t="s">
        <v>270</v>
      </c>
      <c r="P11" t="s">
        <v>270</v>
      </c>
      <c r="Q11">
        <v>1</v>
      </c>
      <c r="X11">
        <v>35.6</v>
      </c>
      <c r="Y11">
        <v>0</v>
      </c>
      <c r="Z11">
        <v>0</v>
      </c>
      <c r="AA11">
        <v>0</v>
      </c>
      <c r="AB11">
        <v>7.94</v>
      </c>
      <c r="AC11">
        <v>0</v>
      </c>
      <c r="AD11">
        <v>1</v>
      </c>
      <c r="AE11">
        <v>1</v>
      </c>
      <c r="AF11" t="s">
        <v>41</v>
      </c>
      <c r="AG11">
        <v>28.480000000000004</v>
      </c>
      <c r="AH11">
        <v>2</v>
      </c>
      <c r="AI11">
        <v>55655648</v>
      </c>
      <c r="AJ11">
        <v>10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ROW(Source!A31)</f>
        <v>31</v>
      </c>
      <c r="B12">
        <v>55655655</v>
      </c>
      <c r="C12">
        <v>55655647</v>
      </c>
      <c r="D12">
        <v>53630257</v>
      </c>
      <c r="E12">
        <v>70</v>
      </c>
      <c r="F12">
        <v>1</v>
      </c>
      <c r="G12">
        <v>1</v>
      </c>
      <c r="H12">
        <v>1</v>
      </c>
      <c r="I12" t="s">
        <v>277</v>
      </c>
      <c r="K12" t="s">
        <v>278</v>
      </c>
      <c r="L12">
        <v>1191</v>
      </c>
      <c r="N12">
        <v>1013</v>
      </c>
      <c r="O12" t="s">
        <v>270</v>
      </c>
      <c r="P12" t="s">
        <v>270</v>
      </c>
      <c r="Q12">
        <v>1</v>
      </c>
      <c r="X12">
        <v>1.27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2</v>
      </c>
      <c r="AF12" t="s">
        <v>41</v>
      </c>
      <c r="AG12">
        <v>1.016</v>
      </c>
      <c r="AH12">
        <v>2</v>
      </c>
      <c r="AI12">
        <v>55655649</v>
      </c>
      <c r="AJ12">
        <v>11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ROW(Source!A31)</f>
        <v>31</v>
      </c>
      <c r="B13">
        <v>55655656</v>
      </c>
      <c r="C13">
        <v>55655647</v>
      </c>
      <c r="D13">
        <v>53792191</v>
      </c>
      <c r="E13">
        <v>1</v>
      </c>
      <c r="F13">
        <v>1</v>
      </c>
      <c r="G13">
        <v>1</v>
      </c>
      <c r="H13">
        <v>2</v>
      </c>
      <c r="I13" t="s">
        <v>279</v>
      </c>
      <c r="J13" t="s">
        <v>280</v>
      </c>
      <c r="K13" t="s">
        <v>281</v>
      </c>
      <c r="L13">
        <v>1367</v>
      </c>
      <c r="N13">
        <v>1011</v>
      </c>
      <c r="O13" t="s">
        <v>282</v>
      </c>
      <c r="P13" t="s">
        <v>282</v>
      </c>
      <c r="Q13">
        <v>1</v>
      </c>
      <c r="X13">
        <v>1.27</v>
      </c>
      <c r="Y13">
        <v>0</v>
      </c>
      <c r="Z13">
        <v>31.26</v>
      </c>
      <c r="AA13">
        <v>13.5</v>
      </c>
      <c r="AB13">
        <v>0</v>
      </c>
      <c r="AC13">
        <v>0</v>
      </c>
      <c r="AD13">
        <v>1</v>
      </c>
      <c r="AE13">
        <v>0</v>
      </c>
      <c r="AF13" t="s">
        <v>41</v>
      </c>
      <c r="AG13">
        <v>1.016</v>
      </c>
      <c r="AH13">
        <v>2</v>
      </c>
      <c r="AI13">
        <v>55655650</v>
      </c>
      <c r="AJ13">
        <v>12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ROW(Source!A31)</f>
        <v>31</v>
      </c>
      <c r="B14">
        <v>55655657</v>
      </c>
      <c r="C14">
        <v>55655647</v>
      </c>
      <c r="D14">
        <v>53792275</v>
      </c>
      <c r="E14">
        <v>1</v>
      </c>
      <c r="F14">
        <v>1</v>
      </c>
      <c r="G14">
        <v>1</v>
      </c>
      <c r="H14">
        <v>2</v>
      </c>
      <c r="I14" t="s">
        <v>283</v>
      </c>
      <c r="J14" t="s">
        <v>284</v>
      </c>
      <c r="K14" t="s">
        <v>285</v>
      </c>
      <c r="L14">
        <v>1367</v>
      </c>
      <c r="N14">
        <v>1011</v>
      </c>
      <c r="O14" t="s">
        <v>282</v>
      </c>
      <c r="P14" t="s">
        <v>282</v>
      </c>
      <c r="Q14">
        <v>1</v>
      </c>
      <c r="X14">
        <v>7.82</v>
      </c>
      <c r="Y14">
        <v>0</v>
      </c>
      <c r="Z14">
        <v>0.5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41</v>
      </c>
      <c r="AG14">
        <v>6.256</v>
      </c>
      <c r="AH14">
        <v>2</v>
      </c>
      <c r="AI14">
        <v>55655651</v>
      </c>
      <c r="AJ14">
        <v>13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ROW(Source!A31)</f>
        <v>31</v>
      </c>
      <c r="B15">
        <v>55655658</v>
      </c>
      <c r="C15">
        <v>55655647</v>
      </c>
      <c r="D15">
        <v>53642555</v>
      </c>
      <c r="E15">
        <v>1</v>
      </c>
      <c r="F15">
        <v>1</v>
      </c>
      <c r="G15">
        <v>1</v>
      </c>
      <c r="H15">
        <v>3</v>
      </c>
      <c r="I15" t="s">
        <v>48</v>
      </c>
      <c r="J15" t="s">
        <v>51</v>
      </c>
      <c r="K15" t="s">
        <v>49</v>
      </c>
      <c r="L15">
        <v>1339</v>
      </c>
      <c r="N15">
        <v>1007</v>
      </c>
      <c r="O15" t="s">
        <v>50</v>
      </c>
      <c r="P15" t="s">
        <v>50</v>
      </c>
      <c r="Q15">
        <v>1</v>
      </c>
      <c r="X15">
        <v>3.5</v>
      </c>
      <c r="Y15">
        <v>2.44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40</v>
      </c>
      <c r="AG15">
        <v>0</v>
      </c>
      <c r="AH15">
        <v>2</v>
      </c>
      <c r="AI15">
        <v>55655652</v>
      </c>
      <c r="AJ15">
        <v>14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ROW(Source!A31)</f>
        <v>31</v>
      </c>
      <c r="B16">
        <v>55655659</v>
      </c>
      <c r="C16">
        <v>55655647</v>
      </c>
      <c r="D16">
        <v>53631137</v>
      </c>
      <c r="E16">
        <v>70</v>
      </c>
      <c r="F16">
        <v>1</v>
      </c>
      <c r="G16">
        <v>1</v>
      </c>
      <c r="H16">
        <v>3</v>
      </c>
      <c r="I16" t="s">
        <v>341</v>
      </c>
      <c r="K16" t="s">
        <v>342</v>
      </c>
      <c r="L16">
        <v>1339</v>
      </c>
      <c r="N16">
        <v>1007</v>
      </c>
      <c r="O16" t="s">
        <v>50</v>
      </c>
      <c r="P16" t="s">
        <v>50</v>
      </c>
      <c r="Q16">
        <v>1</v>
      </c>
      <c r="X16">
        <v>2.04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 t="s">
        <v>40</v>
      </c>
      <c r="AG16">
        <v>0</v>
      </c>
      <c r="AH16">
        <v>3</v>
      </c>
      <c r="AI16">
        <v>-1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ROW(Source!A34)</f>
        <v>34</v>
      </c>
      <c r="B17">
        <v>55667397</v>
      </c>
      <c r="C17">
        <v>55667396</v>
      </c>
      <c r="D17">
        <v>53630033</v>
      </c>
      <c r="E17">
        <v>70</v>
      </c>
      <c r="F17">
        <v>1</v>
      </c>
      <c r="G17">
        <v>1</v>
      </c>
      <c r="H17">
        <v>1</v>
      </c>
      <c r="I17" t="s">
        <v>268</v>
      </c>
      <c r="K17" t="s">
        <v>286</v>
      </c>
      <c r="L17">
        <v>1191</v>
      </c>
      <c r="N17">
        <v>1013</v>
      </c>
      <c r="O17" t="s">
        <v>270</v>
      </c>
      <c r="P17" t="s">
        <v>270</v>
      </c>
      <c r="Q17">
        <v>1</v>
      </c>
      <c r="X17">
        <v>0.44</v>
      </c>
      <c r="Y17">
        <v>0</v>
      </c>
      <c r="Z17">
        <v>0</v>
      </c>
      <c r="AA17">
        <v>0</v>
      </c>
      <c r="AB17">
        <v>7.8</v>
      </c>
      <c r="AC17">
        <v>0</v>
      </c>
      <c r="AD17">
        <v>1</v>
      </c>
      <c r="AE17">
        <v>1</v>
      </c>
      <c r="AF17" t="s">
        <v>57</v>
      </c>
      <c r="AG17">
        <v>0.7040000000000001</v>
      </c>
      <c r="AH17">
        <v>2</v>
      </c>
      <c r="AI17">
        <v>55667397</v>
      </c>
      <c r="AJ17">
        <v>15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ROW(Source!A34)</f>
        <v>34</v>
      </c>
      <c r="B18">
        <v>55667398</v>
      </c>
      <c r="C18">
        <v>55667396</v>
      </c>
      <c r="D18">
        <v>53630257</v>
      </c>
      <c r="E18">
        <v>70</v>
      </c>
      <c r="F18">
        <v>1</v>
      </c>
      <c r="G18">
        <v>1</v>
      </c>
      <c r="H18">
        <v>1</v>
      </c>
      <c r="I18" t="s">
        <v>277</v>
      </c>
      <c r="K18" t="s">
        <v>278</v>
      </c>
      <c r="L18">
        <v>1191</v>
      </c>
      <c r="N18">
        <v>1013</v>
      </c>
      <c r="O18" t="s">
        <v>270</v>
      </c>
      <c r="P18" t="s">
        <v>270</v>
      </c>
      <c r="Q18">
        <v>1</v>
      </c>
      <c r="X18">
        <v>0.21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2</v>
      </c>
      <c r="AF18" t="s">
        <v>57</v>
      </c>
      <c r="AG18">
        <v>0.336</v>
      </c>
      <c r="AH18">
        <v>2</v>
      </c>
      <c r="AI18">
        <v>55667398</v>
      </c>
      <c r="AJ18">
        <v>16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ROW(Source!A34)</f>
        <v>34</v>
      </c>
      <c r="B19">
        <v>55667399</v>
      </c>
      <c r="C19">
        <v>55667396</v>
      </c>
      <c r="D19">
        <v>53792191</v>
      </c>
      <c r="E19">
        <v>1</v>
      </c>
      <c r="F19">
        <v>1</v>
      </c>
      <c r="G19">
        <v>1</v>
      </c>
      <c r="H19">
        <v>2</v>
      </c>
      <c r="I19" t="s">
        <v>279</v>
      </c>
      <c r="J19" t="s">
        <v>280</v>
      </c>
      <c r="K19" t="s">
        <v>281</v>
      </c>
      <c r="L19">
        <v>1367</v>
      </c>
      <c r="N19">
        <v>1011</v>
      </c>
      <c r="O19" t="s">
        <v>282</v>
      </c>
      <c r="P19" t="s">
        <v>282</v>
      </c>
      <c r="Q19">
        <v>1</v>
      </c>
      <c r="X19">
        <v>0.21</v>
      </c>
      <c r="Y19">
        <v>0</v>
      </c>
      <c r="Z19">
        <v>31.26</v>
      </c>
      <c r="AA19">
        <v>13.5</v>
      </c>
      <c r="AB19">
        <v>0</v>
      </c>
      <c r="AC19">
        <v>0</v>
      </c>
      <c r="AD19">
        <v>1</v>
      </c>
      <c r="AE19">
        <v>0</v>
      </c>
      <c r="AF19" t="s">
        <v>57</v>
      </c>
      <c r="AG19">
        <v>0.336</v>
      </c>
      <c r="AH19">
        <v>2</v>
      </c>
      <c r="AI19">
        <v>55667399</v>
      </c>
      <c r="AJ19">
        <v>17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ROW(Source!A34)</f>
        <v>34</v>
      </c>
      <c r="B20">
        <v>55667400</v>
      </c>
      <c r="C20">
        <v>55667396</v>
      </c>
      <c r="D20">
        <v>53792275</v>
      </c>
      <c r="E20">
        <v>1</v>
      </c>
      <c r="F20">
        <v>1</v>
      </c>
      <c r="G20">
        <v>1</v>
      </c>
      <c r="H20">
        <v>2</v>
      </c>
      <c r="I20" t="s">
        <v>283</v>
      </c>
      <c r="J20" t="s">
        <v>284</v>
      </c>
      <c r="K20" t="s">
        <v>285</v>
      </c>
      <c r="L20">
        <v>1367</v>
      </c>
      <c r="N20">
        <v>1011</v>
      </c>
      <c r="O20" t="s">
        <v>282</v>
      </c>
      <c r="P20" t="s">
        <v>282</v>
      </c>
      <c r="Q20">
        <v>1</v>
      </c>
      <c r="X20">
        <v>2</v>
      </c>
      <c r="Y20">
        <v>0</v>
      </c>
      <c r="Z20">
        <v>0.5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57</v>
      </c>
      <c r="AG20">
        <v>3.2</v>
      </c>
      <c r="AH20">
        <v>2</v>
      </c>
      <c r="AI20">
        <v>55667400</v>
      </c>
      <c r="AJ20">
        <v>18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ROW(Source!A34)</f>
        <v>34</v>
      </c>
      <c r="B21">
        <v>55667401</v>
      </c>
      <c r="C21">
        <v>55667396</v>
      </c>
      <c r="D21">
        <v>53631071</v>
      </c>
      <c r="E21">
        <v>70</v>
      </c>
      <c r="F21">
        <v>1</v>
      </c>
      <c r="G21">
        <v>1</v>
      </c>
      <c r="H21">
        <v>3</v>
      </c>
      <c r="I21" t="s">
        <v>343</v>
      </c>
      <c r="K21" t="s">
        <v>344</v>
      </c>
      <c r="L21">
        <v>1339</v>
      </c>
      <c r="N21">
        <v>1007</v>
      </c>
      <c r="O21" t="s">
        <v>50</v>
      </c>
      <c r="P21" t="s">
        <v>50</v>
      </c>
      <c r="Q21">
        <v>1</v>
      </c>
      <c r="X21">
        <v>0.51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 t="s">
        <v>56</v>
      </c>
      <c r="AG21">
        <v>0</v>
      </c>
      <c r="AH21">
        <v>3</v>
      </c>
      <c r="AI21">
        <v>-1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ROW(Source!A35)</f>
        <v>35</v>
      </c>
      <c r="B22">
        <v>55667397</v>
      </c>
      <c r="C22">
        <v>55667396</v>
      </c>
      <c r="D22">
        <v>53630033</v>
      </c>
      <c r="E22">
        <v>70</v>
      </c>
      <c r="F22">
        <v>1</v>
      </c>
      <c r="G22">
        <v>1</v>
      </c>
      <c r="H22">
        <v>1</v>
      </c>
      <c r="I22" t="s">
        <v>268</v>
      </c>
      <c r="K22" t="s">
        <v>286</v>
      </c>
      <c r="L22">
        <v>1191</v>
      </c>
      <c r="N22">
        <v>1013</v>
      </c>
      <c r="O22" t="s">
        <v>270</v>
      </c>
      <c r="P22" t="s">
        <v>270</v>
      </c>
      <c r="Q22">
        <v>1</v>
      </c>
      <c r="X22">
        <v>0.44</v>
      </c>
      <c r="Y22">
        <v>0</v>
      </c>
      <c r="Z22">
        <v>0</v>
      </c>
      <c r="AA22">
        <v>0</v>
      </c>
      <c r="AB22">
        <v>7.8</v>
      </c>
      <c r="AC22">
        <v>0</v>
      </c>
      <c r="AD22">
        <v>1</v>
      </c>
      <c r="AE22">
        <v>1</v>
      </c>
      <c r="AF22" t="s">
        <v>57</v>
      </c>
      <c r="AG22">
        <v>0.7040000000000001</v>
      </c>
      <c r="AH22">
        <v>2</v>
      </c>
      <c r="AI22">
        <v>55667397</v>
      </c>
      <c r="AJ22">
        <v>19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ROW(Source!A35)</f>
        <v>35</v>
      </c>
      <c r="B23">
        <v>55667398</v>
      </c>
      <c r="C23">
        <v>55667396</v>
      </c>
      <c r="D23">
        <v>53630257</v>
      </c>
      <c r="E23">
        <v>70</v>
      </c>
      <c r="F23">
        <v>1</v>
      </c>
      <c r="G23">
        <v>1</v>
      </c>
      <c r="H23">
        <v>1</v>
      </c>
      <c r="I23" t="s">
        <v>277</v>
      </c>
      <c r="K23" t="s">
        <v>278</v>
      </c>
      <c r="L23">
        <v>1191</v>
      </c>
      <c r="N23">
        <v>1013</v>
      </c>
      <c r="O23" t="s">
        <v>270</v>
      </c>
      <c r="P23" t="s">
        <v>270</v>
      </c>
      <c r="Q23">
        <v>1</v>
      </c>
      <c r="X23">
        <v>0.21</v>
      </c>
      <c r="Y23">
        <v>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2</v>
      </c>
      <c r="AF23" t="s">
        <v>57</v>
      </c>
      <c r="AG23">
        <v>0.336</v>
      </c>
      <c r="AH23">
        <v>2</v>
      </c>
      <c r="AI23">
        <v>55667398</v>
      </c>
      <c r="AJ23">
        <v>20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ROW(Source!A35)</f>
        <v>35</v>
      </c>
      <c r="B24">
        <v>55667399</v>
      </c>
      <c r="C24">
        <v>55667396</v>
      </c>
      <c r="D24">
        <v>53792191</v>
      </c>
      <c r="E24">
        <v>1</v>
      </c>
      <c r="F24">
        <v>1</v>
      </c>
      <c r="G24">
        <v>1</v>
      </c>
      <c r="H24">
        <v>2</v>
      </c>
      <c r="I24" t="s">
        <v>279</v>
      </c>
      <c r="J24" t="s">
        <v>280</v>
      </c>
      <c r="K24" t="s">
        <v>281</v>
      </c>
      <c r="L24">
        <v>1367</v>
      </c>
      <c r="N24">
        <v>1011</v>
      </c>
      <c r="O24" t="s">
        <v>282</v>
      </c>
      <c r="P24" t="s">
        <v>282</v>
      </c>
      <c r="Q24">
        <v>1</v>
      </c>
      <c r="X24">
        <v>0.21</v>
      </c>
      <c r="Y24">
        <v>0</v>
      </c>
      <c r="Z24">
        <v>31.26</v>
      </c>
      <c r="AA24">
        <v>13.5</v>
      </c>
      <c r="AB24">
        <v>0</v>
      </c>
      <c r="AC24">
        <v>0</v>
      </c>
      <c r="AD24">
        <v>1</v>
      </c>
      <c r="AE24">
        <v>0</v>
      </c>
      <c r="AF24" t="s">
        <v>57</v>
      </c>
      <c r="AG24">
        <v>0.336</v>
      </c>
      <c r="AH24">
        <v>2</v>
      </c>
      <c r="AI24">
        <v>55667399</v>
      </c>
      <c r="AJ24">
        <v>21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ROW(Source!A35)</f>
        <v>35</v>
      </c>
      <c r="B25">
        <v>55667400</v>
      </c>
      <c r="C25">
        <v>55667396</v>
      </c>
      <c r="D25">
        <v>53792275</v>
      </c>
      <c r="E25">
        <v>1</v>
      </c>
      <c r="F25">
        <v>1</v>
      </c>
      <c r="G25">
        <v>1</v>
      </c>
      <c r="H25">
        <v>2</v>
      </c>
      <c r="I25" t="s">
        <v>283</v>
      </c>
      <c r="J25" t="s">
        <v>284</v>
      </c>
      <c r="K25" t="s">
        <v>285</v>
      </c>
      <c r="L25">
        <v>1367</v>
      </c>
      <c r="N25">
        <v>1011</v>
      </c>
      <c r="O25" t="s">
        <v>282</v>
      </c>
      <c r="P25" t="s">
        <v>282</v>
      </c>
      <c r="Q25">
        <v>1</v>
      </c>
      <c r="X25">
        <v>2</v>
      </c>
      <c r="Y25">
        <v>0</v>
      </c>
      <c r="Z25">
        <v>0.5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57</v>
      </c>
      <c r="AG25">
        <v>3.2</v>
      </c>
      <c r="AH25">
        <v>2</v>
      </c>
      <c r="AI25">
        <v>55667400</v>
      </c>
      <c r="AJ25">
        <v>22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ROW(Source!A35)</f>
        <v>35</v>
      </c>
      <c r="B26">
        <v>55667401</v>
      </c>
      <c r="C26">
        <v>55667396</v>
      </c>
      <c r="D26">
        <v>53631071</v>
      </c>
      <c r="E26">
        <v>70</v>
      </c>
      <c r="F26">
        <v>1</v>
      </c>
      <c r="G26">
        <v>1</v>
      </c>
      <c r="H26">
        <v>3</v>
      </c>
      <c r="I26" t="s">
        <v>343</v>
      </c>
      <c r="K26" t="s">
        <v>344</v>
      </c>
      <c r="L26">
        <v>1339</v>
      </c>
      <c r="N26">
        <v>1007</v>
      </c>
      <c r="O26" t="s">
        <v>50</v>
      </c>
      <c r="P26" t="s">
        <v>50</v>
      </c>
      <c r="Q26">
        <v>1</v>
      </c>
      <c r="X26">
        <v>0.51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 t="s">
        <v>56</v>
      </c>
      <c r="AG26">
        <v>0</v>
      </c>
      <c r="AH26">
        <v>3</v>
      </c>
      <c r="AI26">
        <v>-1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ROW(Source!A71)</f>
        <v>71</v>
      </c>
      <c r="B27">
        <v>55655671</v>
      </c>
      <c r="C27">
        <v>55655662</v>
      </c>
      <c r="D27">
        <v>49459389</v>
      </c>
      <c r="E27">
        <v>58</v>
      </c>
      <c r="F27">
        <v>1</v>
      </c>
      <c r="G27">
        <v>1</v>
      </c>
      <c r="H27">
        <v>1</v>
      </c>
      <c r="I27" t="s">
        <v>287</v>
      </c>
      <c r="K27" t="s">
        <v>288</v>
      </c>
      <c r="L27">
        <v>1191</v>
      </c>
      <c r="N27">
        <v>1013</v>
      </c>
      <c r="O27" t="s">
        <v>270</v>
      </c>
      <c r="P27" t="s">
        <v>270</v>
      </c>
      <c r="Q27">
        <v>1</v>
      </c>
      <c r="X27">
        <v>24.3</v>
      </c>
      <c r="Y27">
        <v>0</v>
      </c>
      <c r="Z27">
        <v>0</v>
      </c>
      <c r="AA27">
        <v>0</v>
      </c>
      <c r="AB27">
        <v>8.64</v>
      </c>
      <c r="AC27">
        <v>0</v>
      </c>
      <c r="AD27">
        <v>1</v>
      </c>
      <c r="AE27">
        <v>1</v>
      </c>
      <c r="AF27" t="s">
        <v>118</v>
      </c>
      <c r="AG27">
        <v>27.945</v>
      </c>
      <c r="AH27">
        <v>2</v>
      </c>
      <c r="AI27">
        <v>55655663</v>
      </c>
      <c r="AJ27">
        <v>23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ROW(Source!A71)</f>
        <v>71</v>
      </c>
      <c r="B28">
        <v>55655672</v>
      </c>
      <c r="C28">
        <v>55655662</v>
      </c>
      <c r="D28">
        <v>49459566</v>
      </c>
      <c r="E28">
        <v>58</v>
      </c>
      <c r="F28">
        <v>1</v>
      </c>
      <c r="G28">
        <v>1</v>
      </c>
      <c r="H28">
        <v>1</v>
      </c>
      <c r="I28" t="s">
        <v>289</v>
      </c>
      <c r="K28" t="s">
        <v>278</v>
      </c>
      <c r="L28">
        <v>1191</v>
      </c>
      <c r="N28">
        <v>1013</v>
      </c>
      <c r="O28" t="s">
        <v>270</v>
      </c>
      <c r="P28" t="s">
        <v>270</v>
      </c>
      <c r="Q28">
        <v>1</v>
      </c>
      <c r="X28">
        <v>1.94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2</v>
      </c>
      <c r="AF28" t="s">
        <v>117</v>
      </c>
      <c r="AG28">
        <v>2.425</v>
      </c>
      <c r="AH28">
        <v>2</v>
      </c>
      <c r="AI28">
        <v>55655664</v>
      </c>
      <c r="AJ28">
        <v>24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ROW(Source!A71)</f>
        <v>71</v>
      </c>
      <c r="B29">
        <v>55655673</v>
      </c>
      <c r="C29">
        <v>55655662</v>
      </c>
      <c r="D29">
        <v>49620286</v>
      </c>
      <c r="E29">
        <v>1</v>
      </c>
      <c r="F29">
        <v>1</v>
      </c>
      <c r="G29">
        <v>1</v>
      </c>
      <c r="H29">
        <v>2</v>
      </c>
      <c r="I29" t="s">
        <v>290</v>
      </c>
      <c r="J29" t="s">
        <v>291</v>
      </c>
      <c r="K29" t="s">
        <v>292</v>
      </c>
      <c r="L29">
        <v>1368</v>
      </c>
      <c r="N29">
        <v>1011</v>
      </c>
      <c r="O29" t="s">
        <v>274</v>
      </c>
      <c r="P29" t="s">
        <v>274</v>
      </c>
      <c r="Q29">
        <v>1</v>
      </c>
      <c r="X29">
        <v>0.68</v>
      </c>
      <c r="Y29">
        <v>0</v>
      </c>
      <c r="Z29">
        <v>86.4</v>
      </c>
      <c r="AA29">
        <v>13.5</v>
      </c>
      <c r="AB29">
        <v>0</v>
      </c>
      <c r="AC29">
        <v>0</v>
      </c>
      <c r="AD29">
        <v>1</v>
      </c>
      <c r="AE29">
        <v>0</v>
      </c>
      <c r="AF29" t="s">
        <v>117</v>
      </c>
      <c r="AG29">
        <v>0.8500000000000001</v>
      </c>
      <c r="AH29">
        <v>2</v>
      </c>
      <c r="AI29">
        <v>55655665</v>
      </c>
      <c r="AJ29">
        <v>25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ROW(Source!A71)</f>
        <v>71</v>
      </c>
      <c r="B30">
        <v>55655674</v>
      </c>
      <c r="C30">
        <v>55655662</v>
      </c>
      <c r="D30">
        <v>49620499</v>
      </c>
      <c r="E30">
        <v>1</v>
      </c>
      <c r="F30">
        <v>1</v>
      </c>
      <c r="G30">
        <v>1</v>
      </c>
      <c r="H30">
        <v>2</v>
      </c>
      <c r="I30" t="s">
        <v>293</v>
      </c>
      <c r="J30" t="s">
        <v>294</v>
      </c>
      <c r="K30" t="s">
        <v>295</v>
      </c>
      <c r="L30">
        <v>1368</v>
      </c>
      <c r="N30">
        <v>1011</v>
      </c>
      <c r="O30" t="s">
        <v>274</v>
      </c>
      <c r="P30" t="s">
        <v>274</v>
      </c>
      <c r="Q30">
        <v>1</v>
      </c>
      <c r="X30">
        <v>1.26</v>
      </c>
      <c r="Y30">
        <v>0</v>
      </c>
      <c r="Z30">
        <v>89.99</v>
      </c>
      <c r="AA30">
        <v>10.06</v>
      </c>
      <c r="AB30">
        <v>0</v>
      </c>
      <c r="AC30">
        <v>0</v>
      </c>
      <c r="AD30">
        <v>1</v>
      </c>
      <c r="AE30">
        <v>0</v>
      </c>
      <c r="AF30" t="s">
        <v>117</v>
      </c>
      <c r="AG30">
        <v>1.575</v>
      </c>
      <c r="AH30">
        <v>2</v>
      </c>
      <c r="AI30">
        <v>55655666</v>
      </c>
      <c r="AJ30">
        <v>26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ROW(Source!A71)</f>
        <v>71</v>
      </c>
      <c r="B31">
        <v>55655675</v>
      </c>
      <c r="C31">
        <v>55655662</v>
      </c>
      <c r="D31">
        <v>49620642</v>
      </c>
      <c r="E31">
        <v>1</v>
      </c>
      <c r="F31">
        <v>1</v>
      </c>
      <c r="G31">
        <v>1</v>
      </c>
      <c r="H31">
        <v>2</v>
      </c>
      <c r="I31" t="s">
        <v>296</v>
      </c>
      <c r="J31" t="s">
        <v>297</v>
      </c>
      <c r="K31" t="s">
        <v>298</v>
      </c>
      <c r="L31">
        <v>1368</v>
      </c>
      <c r="N31">
        <v>1011</v>
      </c>
      <c r="O31" t="s">
        <v>274</v>
      </c>
      <c r="P31" t="s">
        <v>274</v>
      </c>
      <c r="Q31">
        <v>1</v>
      </c>
      <c r="X31">
        <v>2.29</v>
      </c>
      <c r="Y31">
        <v>0</v>
      </c>
      <c r="Z31">
        <v>7.77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117</v>
      </c>
      <c r="AG31">
        <v>2.8625</v>
      </c>
      <c r="AH31">
        <v>2</v>
      </c>
      <c r="AI31">
        <v>55655667</v>
      </c>
      <c r="AJ31">
        <v>27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ROW(Source!A71)</f>
        <v>71</v>
      </c>
      <c r="B32">
        <v>55655676</v>
      </c>
      <c r="C32">
        <v>55655662</v>
      </c>
      <c r="D32">
        <v>49471536</v>
      </c>
      <c r="E32">
        <v>1</v>
      </c>
      <c r="F32">
        <v>1</v>
      </c>
      <c r="G32">
        <v>1</v>
      </c>
      <c r="H32">
        <v>3</v>
      </c>
      <c r="I32" t="s">
        <v>48</v>
      </c>
      <c r="J32" t="s">
        <v>51</v>
      </c>
      <c r="K32" t="s">
        <v>49</v>
      </c>
      <c r="L32">
        <v>1339</v>
      </c>
      <c r="N32">
        <v>1007</v>
      </c>
      <c r="O32" t="s">
        <v>50</v>
      </c>
      <c r="P32" t="s">
        <v>50</v>
      </c>
      <c r="Q32">
        <v>1</v>
      </c>
      <c r="X32">
        <v>3.85</v>
      </c>
      <c r="Y32">
        <v>2.44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G32">
        <v>3.85</v>
      </c>
      <c r="AH32">
        <v>2</v>
      </c>
      <c r="AI32">
        <v>55655668</v>
      </c>
      <c r="AJ32">
        <v>28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ROW(Source!A71)</f>
        <v>71</v>
      </c>
      <c r="B33">
        <v>55655677</v>
      </c>
      <c r="C33">
        <v>55655662</v>
      </c>
      <c r="D33">
        <v>49460378</v>
      </c>
      <c r="E33">
        <v>58</v>
      </c>
      <c r="F33">
        <v>1</v>
      </c>
      <c r="G33">
        <v>1</v>
      </c>
      <c r="H33">
        <v>3</v>
      </c>
      <c r="I33" t="s">
        <v>341</v>
      </c>
      <c r="K33" t="s">
        <v>342</v>
      </c>
      <c r="L33">
        <v>1339</v>
      </c>
      <c r="N33">
        <v>1007</v>
      </c>
      <c r="O33" t="s">
        <v>50</v>
      </c>
      <c r="P33" t="s">
        <v>50</v>
      </c>
      <c r="Q33">
        <v>1</v>
      </c>
      <c r="X33">
        <v>1.53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G33">
        <v>1.53</v>
      </c>
      <c r="AH33">
        <v>3</v>
      </c>
      <c r="AI33">
        <v>-1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ROW(Source!A71)</f>
        <v>71</v>
      </c>
      <c r="B34">
        <v>55655678</v>
      </c>
      <c r="C34">
        <v>55655662</v>
      </c>
      <c r="D34">
        <v>49497472</v>
      </c>
      <c r="E34">
        <v>1</v>
      </c>
      <c r="F34">
        <v>1</v>
      </c>
      <c r="G34">
        <v>1</v>
      </c>
      <c r="H34">
        <v>3</v>
      </c>
      <c r="I34" t="s">
        <v>299</v>
      </c>
      <c r="J34" t="s">
        <v>300</v>
      </c>
      <c r="K34" t="s">
        <v>301</v>
      </c>
      <c r="L34">
        <v>1327</v>
      </c>
      <c r="N34">
        <v>1005</v>
      </c>
      <c r="O34" t="s">
        <v>154</v>
      </c>
      <c r="P34" t="s">
        <v>154</v>
      </c>
      <c r="Q34">
        <v>1</v>
      </c>
      <c r="X34">
        <v>4.4</v>
      </c>
      <c r="Y34">
        <v>6.2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G34">
        <v>4.4</v>
      </c>
      <c r="AH34">
        <v>2</v>
      </c>
      <c r="AI34">
        <v>55655669</v>
      </c>
      <c r="AJ34">
        <v>30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ROW(Source!A72)</f>
        <v>72</v>
      </c>
      <c r="B35">
        <v>55655671</v>
      </c>
      <c r="C35">
        <v>55655662</v>
      </c>
      <c r="D35">
        <v>49459389</v>
      </c>
      <c r="E35">
        <v>58</v>
      </c>
      <c r="F35">
        <v>1</v>
      </c>
      <c r="G35">
        <v>1</v>
      </c>
      <c r="H35">
        <v>1</v>
      </c>
      <c r="I35" t="s">
        <v>287</v>
      </c>
      <c r="K35" t="s">
        <v>288</v>
      </c>
      <c r="L35">
        <v>1191</v>
      </c>
      <c r="N35">
        <v>1013</v>
      </c>
      <c r="O35" t="s">
        <v>270</v>
      </c>
      <c r="P35" t="s">
        <v>270</v>
      </c>
      <c r="Q35">
        <v>1</v>
      </c>
      <c r="X35">
        <v>24.3</v>
      </c>
      <c r="Y35">
        <v>0</v>
      </c>
      <c r="Z35">
        <v>0</v>
      </c>
      <c r="AA35">
        <v>0</v>
      </c>
      <c r="AB35">
        <v>8.64</v>
      </c>
      <c r="AC35">
        <v>0</v>
      </c>
      <c r="AD35">
        <v>1</v>
      </c>
      <c r="AE35">
        <v>1</v>
      </c>
      <c r="AF35" t="s">
        <v>118</v>
      </c>
      <c r="AG35">
        <v>27.945</v>
      </c>
      <c r="AH35">
        <v>2</v>
      </c>
      <c r="AI35">
        <v>55655663</v>
      </c>
      <c r="AJ35">
        <v>31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ROW(Source!A72)</f>
        <v>72</v>
      </c>
      <c r="B36">
        <v>55655672</v>
      </c>
      <c r="C36">
        <v>55655662</v>
      </c>
      <c r="D36">
        <v>49459566</v>
      </c>
      <c r="E36">
        <v>58</v>
      </c>
      <c r="F36">
        <v>1</v>
      </c>
      <c r="G36">
        <v>1</v>
      </c>
      <c r="H36">
        <v>1</v>
      </c>
      <c r="I36" t="s">
        <v>289</v>
      </c>
      <c r="K36" t="s">
        <v>278</v>
      </c>
      <c r="L36">
        <v>1191</v>
      </c>
      <c r="N36">
        <v>1013</v>
      </c>
      <c r="O36" t="s">
        <v>270</v>
      </c>
      <c r="P36" t="s">
        <v>270</v>
      </c>
      <c r="Q36">
        <v>1</v>
      </c>
      <c r="X36">
        <v>1.94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2</v>
      </c>
      <c r="AF36" t="s">
        <v>117</v>
      </c>
      <c r="AG36">
        <v>2.425</v>
      </c>
      <c r="AH36">
        <v>2</v>
      </c>
      <c r="AI36">
        <v>55655664</v>
      </c>
      <c r="AJ36">
        <v>32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ROW(Source!A72)</f>
        <v>72</v>
      </c>
      <c r="B37">
        <v>55655673</v>
      </c>
      <c r="C37">
        <v>55655662</v>
      </c>
      <c r="D37">
        <v>49620286</v>
      </c>
      <c r="E37">
        <v>1</v>
      </c>
      <c r="F37">
        <v>1</v>
      </c>
      <c r="G37">
        <v>1</v>
      </c>
      <c r="H37">
        <v>2</v>
      </c>
      <c r="I37" t="s">
        <v>290</v>
      </c>
      <c r="J37" t="s">
        <v>291</v>
      </c>
      <c r="K37" t="s">
        <v>292</v>
      </c>
      <c r="L37">
        <v>1368</v>
      </c>
      <c r="N37">
        <v>1011</v>
      </c>
      <c r="O37" t="s">
        <v>274</v>
      </c>
      <c r="P37" t="s">
        <v>274</v>
      </c>
      <c r="Q37">
        <v>1</v>
      </c>
      <c r="X37">
        <v>0.68</v>
      </c>
      <c r="Y37">
        <v>0</v>
      </c>
      <c r="Z37">
        <v>86.4</v>
      </c>
      <c r="AA37">
        <v>13.5</v>
      </c>
      <c r="AB37">
        <v>0</v>
      </c>
      <c r="AC37">
        <v>0</v>
      </c>
      <c r="AD37">
        <v>1</v>
      </c>
      <c r="AE37">
        <v>0</v>
      </c>
      <c r="AF37" t="s">
        <v>117</v>
      </c>
      <c r="AG37">
        <v>0.8500000000000001</v>
      </c>
      <c r="AH37">
        <v>2</v>
      </c>
      <c r="AI37">
        <v>55655665</v>
      </c>
      <c r="AJ37">
        <v>33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ROW(Source!A72)</f>
        <v>72</v>
      </c>
      <c r="B38">
        <v>55655674</v>
      </c>
      <c r="C38">
        <v>55655662</v>
      </c>
      <c r="D38">
        <v>49620499</v>
      </c>
      <c r="E38">
        <v>1</v>
      </c>
      <c r="F38">
        <v>1</v>
      </c>
      <c r="G38">
        <v>1</v>
      </c>
      <c r="H38">
        <v>2</v>
      </c>
      <c r="I38" t="s">
        <v>293</v>
      </c>
      <c r="J38" t="s">
        <v>294</v>
      </c>
      <c r="K38" t="s">
        <v>295</v>
      </c>
      <c r="L38">
        <v>1368</v>
      </c>
      <c r="N38">
        <v>1011</v>
      </c>
      <c r="O38" t="s">
        <v>274</v>
      </c>
      <c r="P38" t="s">
        <v>274</v>
      </c>
      <c r="Q38">
        <v>1</v>
      </c>
      <c r="X38">
        <v>1.26</v>
      </c>
      <c r="Y38">
        <v>0</v>
      </c>
      <c r="Z38">
        <v>89.99</v>
      </c>
      <c r="AA38">
        <v>10.06</v>
      </c>
      <c r="AB38">
        <v>0</v>
      </c>
      <c r="AC38">
        <v>0</v>
      </c>
      <c r="AD38">
        <v>1</v>
      </c>
      <c r="AE38">
        <v>0</v>
      </c>
      <c r="AF38" t="s">
        <v>117</v>
      </c>
      <c r="AG38">
        <v>1.575</v>
      </c>
      <c r="AH38">
        <v>2</v>
      </c>
      <c r="AI38">
        <v>55655666</v>
      </c>
      <c r="AJ38">
        <v>34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ROW(Source!A72)</f>
        <v>72</v>
      </c>
      <c r="B39">
        <v>55655675</v>
      </c>
      <c r="C39">
        <v>55655662</v>
      </c>
      <c r="D39">
        <v>49620642</v>
      </c>
      <c r="E39">
        <v>1</v>
      </c>
      <c r="F39">
        <v>1</v>
      </c>
      <c r="G39">
        <v>1</v>
      </c>
      <c r="H39">
        <v>2</v>
      </c>
      <c r="I39" t="s">
        <v>296</v>
      </c>
      <c r="J39" t="s">
        <v>297</v>
      </c>
      <c r="K39" t="s">
        <v>298</v>
      </c>
      <c r="L39">
        <v>1368</v>
      </c>
      <c r="N39">
        <v>1011</v>
      </c>
      <c r="O39" t="s">
        <v>274</v>
      </c>
      <c r="P39" t="s">
        <v>274</v>
      </c>
      <c r="Q39">
        <v>1</v>
      </c>
      <c r="X39">
        <v>2.29</v>
      </c>
      <c r="Y39">
        <v>0</v>
      </c>
      <c r="Z39">
        <v>7.77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117</v>
      </c>
      <c r="AG39">
        <v>2.8625</v>
      </c>
      <c r="AH39">
        <v>2</v>
      </c>
      <c r="AI39">
        <v>55655667</v>
      </c>
      <c r="AJ39">
        <v>35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ROW(Source!A72)</f>
        <v>72</v>
      </c>
      <c r="B40">
        <v>55655676</v>
      </c>
      <c r="C40">
        <v>55655662</v>
      </c>
      <c r="D40">
        <v>49471536</v>
      </c>
      <c r="E40">
        <v>1</v>
      </c>
      <c r="F40">
        <v>1</v>
      </c>
      <c r="G40">
        <v>1</v>
      </c>
      <c r="H40">
        <v>3</v>
      </c>
      <c r="I40" t="s">
        <v>48</v>
      </c>
      <c r="J40" t="s">
        <v>51</v>
      </c>
      <c r="K40" t="s">
        <v>49</v>
      </c>
      <c r="L40">
        <v>1339</v>
      </c>
      <c r="N40">
        <v>1007</v>
      </c>
      <c r="O40" t="s">
        <v>50</v>
      </c>
      <c r="P40" t="s">
        <v>50</v>
      </c>
      <c r="Q40">
        <v>1</v>
      </c>
      <c r="X40">
        <v>3.85</v>
      </c>
      <c r="Y40">
        <v>2.44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G40">
        <v>3.85</v>
      </c>
      <c r="AH40">
        <v>2</v>
      </c>
      <c r="AI40">
        <v>55655668</v>
      </c>
      <c r="AJ40">
        <v>36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ROW(Source!A72)</f>
        <v>72</v>
      </c>
      <c r="B41">
        <v>55655677</v>
      </c>
      <c r="C41">
        <v>55655662</v>
      </c>
      <c r="D41">
        <v>49460378</v>
      </c>
      <c r="E41">
        <v>58</v>
      </c>
      <c r="F41">
        <v>1</v>
      </c>
      <c r="G41">
        <v>1</v>
      </c>
      <c r="H41">
        <v>3</v>
      </c>
      <c r="I41" t="s">
        <v>341</v>
      </c>
      <c r="K41" t="s">
        <v>342</v>
      </c>
      <c r="L41">
        <v>1339</v>
      </c>
      <c r="N41">
        <v>1007</v>
      </c>
      <c r="O41" t="s">
        <v>50</v>
      </c>
      <c r="P41" t="s">
        <v>50</v>
      </c>
      <c r="Q41">
        <v>1</v>
      </c>
      <c r="X41">
        <v>1.53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G41">
        <v>1.53</v>
      </c>
      <c r="AH41">
        <v>3</v>
      </c>
      <c r="AI41">
        <v>-1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ROW(Source!A72)</f>
        <v>72</v>
      </c>
      <c r="B42">
        <v>55655678</v>
      </c>
      <c r="C42">
        <v>55655662</v>
      </c>
      <c r="D42">
        <v>49497472</v>
      </c>
      <c r="E42">
        <v>1</v>
      </c>
      <c r="F42">
        <v>1</v>
      </c>
      <c r="G42">
        <v>1</v>
      </c>
      <c r="H42">
        <v>3</v>
      </c>
      <c r="I42" t="s">
        <v>299</v>
      </c>
      <c r="J42" t="s">
        <v>300</v>
      </c>
      <c r="K42" t="s">
        <v>301</v>
      </c>
      <c r="L42">
        <v>1327</v>
      </c>
      <c r="N42">
        <v>1005</v>
      </c>
      <c r="O42" t="s">
        <v>154</v>
      </c>
      <c r="P42" t="s">
        <v>154</v>
      </c>
      <c r="Q42">
        <v>1</v>
      </c>
      <c r="X42">
        <v>4.4</v>
      </c>
      <c r="Y42">
        <v>6.2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G42">
        <v>4.4</v>
      </c>
      <c r="AH42">
        <v>2</v>
      </c>
      <c r="AI42">
        <v>55655669</v>
      </c>
      <c r="AJ42">
        <v>38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ROW(Source!A75)</f>
        <v>75</v>
      </c>
      <c r="B43">
        <v>55655686</v>
      </c>
      <c r="C43">
        <v>55655680</v>
      </c>
      <c r="D43">
        <v>49459389</v>
      </c>
      <c r="E43">
        <v>58</v>
      </c>
      <c r="F43">
        <v>1</v>
      </c>
      <c r="G43">
        <v>1</v>
      </c>
      <c r="H43">
        <v>1</v>
      </c>
      <c r="I43" t="s">
        <v>287</v>
      </c>
      <c r="K43" t="s">
        <v>288</v>
      </c>
      <c r="L43">
        <v>1191</v>
      </c>
      <c r="N43">
        <v>1013</v>
      </c>
      <c r="O43" t="s">
        <v>270</v>
      </c>
      <c r="P43" t="s">
        <v>270</v>
      </c>
      <c r="Q43">
        <v>1</v>
      </c>
      <c r="X43">
        <v>1</v>
      </c>
      <c r="Y43">
        <v>0</v>
      </c>
      <c r="Z43">
        <v>0</v>
      </c>
      <c r="AA43">
        <v>0</v>
      </c>
      <c r="AB43">
        <v>8.64</v>
      </c>
      <c r="AC43">
        <v>0</v>
      </c>
      <c r="AD43">
        <v>1</v>
      </c>
      <c r="AE43">
        <v>1</v>
      </c>
      <c r="AF43" t="s">
        <v>137</v>
      </c>
      <c r="AG43">
        <v>17.25</v>
      </c>
      <c r="AH43">
        <v>2</v>
      </c>
      <c r="AI43">
        <v>55655681</v>
      </c>
      <c r="AJ43">
        <v>39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ROW(Source!A75)</f>
        <v>75</v>
      </c>
      <c r="B44">
        <v>55655687</v>
      </c>
      <c r="C44">
        <v>55655680</v>
      </c>
      <c r="D44">
        <v>49459566</v>
      </c>
      <c r="E44">
        <v>58</v>
      </c>
      <c r="F44">
        <v>1</v>
      </c>
      <c r="G44">
        <v>1</v>
      </c>
      <c r="H44">
        <v>1</v>
      </c>
      <c r="I44" t="s">
        <v>289</v>
      </c>
      <c r="K44" t="s">
        <v>278</v>
      </c>
      <c r="L44">
        <v>1191</v>
      </c>
      <c r="N44">
        <v>1013</v>
      </c>
      <c r="O44" t="s">
        <v>270</v>
      </c>
      <c r="P44" t="s">
        <v>270</v>
      </c>
      <c r="Q44">
        <v>1</v>
      </c>
      <c r="X44">
        <v>0.03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136</v>
      </c>
      <c r="AG44">
        <v>0.5625</v>
      </c>
      <c r="AH44">
        <v>2</v>
      </c>
      <c r="AI44">
        <v>55655682</v>
      </c>
      <c r="AJ44">
        <v>40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ROW(Source!A75)</f>
        <v>75</v>
      </c>
      <c r="B45">
        <v>55655688</v>
      </c>
      <c r="C45">
        <v>55655680</v>
      </c>
      <c r="D45">
        <v>49620286</v>
      </c>
      <c r="E45">
        <v>1</v>
      </c>
      <c r="F45">
        <v>1</v>
      </c>
      <c r="G45">
        <v>1</v>
      </c>
      <c r="H45">
        <v>2</v>
      </c>
      <c r="I45" t="s">
        <v>290</v>
      </c>
      <c r="J45" t="s">
        <v>291</v>
      </c>
      <c r="K45" t="s">
        <v>292</v>
      </c>
      <c r="L45">
        <v>1368</v>
      </c>
      <c r="N45">
        <v>1011</v>
      </c>
      <c r="O45" t="s">
        <v>274</v>
      </c>
      <c r="P45" t="s">
        <v>274</v>
      </c>
      <c r="Q45">
        <v>1</v>
      </c>
      <c r="X45">
        <v>0.01</v>
      </c>
      <c r="Y45">
        <v>0</v>
      </c>
      <c r="Z45">
        <v>86.4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136</v>
      </c>
      <c r="AG45">
        <v>0.1875</v>
      </c>
      <c r="AH45">
        <v>2</v>
      </c>
      <c r="AI45">
        <v>55655683</v>
      </c>
      <c r="AJ45">
        <v>41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ROW(Source!A75)</f>
        <v>75</v>
      </c>
      <c r="B46">
        <v>55655689</v>
      </c>
      <c r="C46">
        <v>55655680</v>
      </c>
      <c r="D46">
        <v>49620499</v>
      </c>
      <c r="E46">
        <v>1</v>
      </c>
      <c r="F46">
        <v>1</v>
      </c>
      <c r="G46">
        <v>1</v>
      </c>
      <c r="H46">
        <v>2</v>
      </c>
      <c r="I46" t="s">
        <v>293</v>
      </c>
      <c r="J46" t="s">
        <v>294</v>
      </c>
      <c r="K46" t="s">
        <v>295</v>
      </c>
      <c r="L46">
        <v>1368</v>
      </c>
      <c r="N46">
        <v>1011</v>
      </c>
      <c r="O46" t="s">
        <v>274</v>
      </c>
      <c r="P46" t="s">
        <v>274</v>
      </c>
      <c r="Q46">
        <v>1</v>
      </c>
      <c r="X46">
        <v>0.02</v>
      </c>
      <c r="Y46">
        <v>0</v>
      </c>
      <c r="Z46">
        <v>89.99</v>
      </c>
      <c r="AA46">
        <v>10.06</v>
      </c>
      <c r="AB46">
        <v>0</v>
      </c>
      <c r="AC46">
        <v>0</v>
      </c>
      <c r="AD46">
        <v>1</v>
      </c>
      <c r="AE46">
        <v>0</v>
      </c>
      <c r="AF46" t="s">
        <v>136</v>
      </c>
      <c r="AG46">
        <v>0.375</v>
      </c>
      <c r="AH46">
        <v>2</v>
      </c>
      <c r="AI46">
        <v>55655684</v>
      </c>
      <c r="AJ46">
        <v>42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ROW(Source!A75)</f>
        <v>75</v>
      </c>
      <c r="B47">
        <v>55655690</v>
      </c>
      <c r="C47">
        <v>55655680</v>
      </c>
      <c r="D47">
        <v>49460378</v>
      </c>
      <c r="E47">
        <v>58</v>
      </c>
      <c r="F47">
        <v>1</v>
      </c>
      <c r="G47">
        <v>1</v>
      </c>
      <c r="H47">
        <v>3</v>
      </c>
      <c r="I47" t="s">
        <v>341</v>
      </c>
      <c r="K47" t="s">
        <v>342</v>
      </c>
      <c r="L47">
        <v>1339</v>
      </c>
      <c r="N47">
        <v>1007</v>
      </c>
      <c r="O47" t="s">
        <v>50</v>
      </c>
      <c r="P47" t="s">
        <v>50</v>
      </c>
      <c r="Q47">
        <v>1</v>
      </c>
      <c r="X47">
        <v>0.102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 t="s">
        <v>135</v>
      </c>
      <c r="AG47">
        <v>1.5299999999999998</v>
      </c>
      <c r="AH47">
        <v>3</v>
      </c>
      <c r="AI47">
        <v>-1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ROW(Source!A76)</f>
        <v>76</v>
      </c>
      <c r="B48">
        <v>55655686</v>
      </c>
      <c r="C48">
        <v>55655680</v>
      </c>
      <c r="D48">
        <v>49459389</v>
      </c>
      <c r="E48">
        <v>58</v>
      </c>
      <c r="F48">
        <v>1</v>
      </c>
      <c r="G48">
        <v>1</v>
      </c>
      <c r="H48">
        <v>1</v>
      </c>
      <c r="I48" t="s">
        <v>287</v>
      </c>
      <c r="K48" t="s">
        <v>288</v>
      </c>
      <c r="L48">
        <v>1191</v>
      </c>
      <c r="N48">
        <v>1013</v>
      </c>
      <c r="O48" t="s">
        <v>270</v>
      </c>
      <c r="P48" t="s">
        <v>270</v>
      </c>
      <c r="Q48">
        <v>1</v>
      </c>
      <c r="X48">
        <v>1</v>
      </c>
      <c r="Y48">
        <v>0</v>
      </c>
      <c r="Z48">
        <v>0</v>
      </c>
      <c r="AA48">
        <v>0</v>
      </c>
      <c r="AB48">
        <v>8.64</v>
      </c>
      <c r="AC48">
        <v>0</v>
      </c>
      <c r="AD48">
        <v>1</v>
      </c>
      <c r="AE48">
        <v>1</v>
      </c>
      <c r="AF48" t="s">
        <v>137</v>
      </c>
      <c r="AG48">
        <v>17.25</v>
      </c>
      <c r="AH48">
        <v>2</v>
      </c>
      <c r="AI48">
        <v>55655681</v>
      </c>
      <c r="AJ48">
        <v>44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ROW(Source!A76)</f>
        <v>76</v>
      </c>
      <c r="B49">
        <v>55655687</v>
      </c>
      <c r="C49">
        <v>55655680</v>
      </c>
      <c r="D49">
        <v>49459566</v>
      </c>
      <c r="E49">
        <v>58</v>
      </c>
      <c r="F49">
        <v>1</v>
      </c>
      <c r="G49">
        <v>1</v>
      </c>
      <c r="H49">
        <v>1</v>
      </c>
      <c r="I49" t="s">
        <v>289</v>
      </c>
      <c r="K49" t="s">
        <v>278</v>
      </c>
      <c r="L49">
        <v>1191</v>
      </c>
      <c r="N49">
        <v>1013</v>
      </c>
      <c r="O49" t="s">
        <v>270</v>
      </c>
      <c r="P49" t="s">
        <v>270</v>
      </c>
      <c r="Q49">
        <v>1</v>
      </c>
      <c r="X49">
        <v>0.03</v>
      </c>
      <c r="Y49">
        <v>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2</v>
      </c>
      <c r="AF49" t="s">
        <v>136</v>
      </c>
      <c r="AG49">
        <v>0.5625</v>
      </c>
      <c r="AH49">
        <v>2</v>
      </c>
      <c r="AI49">
        <v>55655682</v>
      </c>
      <c r="AJ49">
        <v>45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ROW(Source!A76)</f>
        <v>76</v>
      </c>
      <c r="B50">
        <v>55655688</v>
      </c>
      <c r="C50">
        <v>55655680</v>
      </c>
      <c r="D50">
        <v>49620286</v>
      </c>
      <c r="E50">
        <v>1</v>
      </c>
      <c r="F50">
        <v>1</v>
      </c>
      <c r="G50">
        <v>1</v>
      </c>
      <c r="H50">
        <v>2</v>
      </c>
      <c r="I50" t="s">
        <v>290</v>
      </c>
      <c r="J50" t="s">
        <v>291</v>
      </c>
      <c r="K50" t="s">
        <v>292</v>
      </c>
      <c r="L50">
        <v>1368</v>
      </c>
      <c r="N50">
        <v>1011</v>
      </c>
      <c r="O50" t="s">
        <v>274</v>
      </c>
      <c r="P50" t="s">
        <v>274</v>
      </c>
      <c r="Q50">
        <v>1</v>
      </c>
      <c r="X50">
        <v>0.01</v>
      </c>
      <c r="Y50">
        <v>0</v>
      </c>
      <c r="Z50">
        <v>86.4</v>
      </c>
      <c r="AA50">
        <v>13.5</v>
      </c>
      <c r="AB50">
        <v>0</v>
      </c>
      <c r="AC50">
        <v>0</v>
      </c>
      <c r="AD50">
        <v>1</v>
      </c>
      <c r="AE50">
        <v>0</v>
      </c>
      <c r="AF50" t="s">
        <v>136</v>
      </c>
      <c r="AG50">
        <v>0.1875</v>
      </c>
      <c r="AH50">
        <v>2</v>
      </c>
      <c r="AI50">
        <v>55655683</v>
      </c>
      <c r="AJ50">
        <v>46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ROW(Source!A76)</f>
        <v>76</v>
      </c>
      <c r="B51">
        <v>55655689</v>
      </c>
      <c r="C51">
        <v>55655680</v>
      </c>
      <c r="D51">
        <v>49620499</v>
      </c>
      <c r="E51">
        <v>1</v>
      </c>
      <c r="F51">
        <v>1</v>
      </c>
      <c r="G51">
        <v>1</v>
      </c>
      <c r="H51">
        <v>2</v>
      </c>
      <c r="I51" t="s">
        <v>293</v>
      </c>
      <c r="J51" t="s">
        <v>294</v>
      </c>
      <c r="K51" t="s">
        <v>295</v>
      </c>
      <c r="L51">
        <v>1368</v>
      </c>
      <c r="N51">
        <v>1011</v>
      </c>
      <c r="O51" t="s">
        <v>274</v>
      </c>
      <c r="P51" t="s">
        <v>274</v>
      </c>
      <c r="Q51">
        <v>1</v>
      </c>
      <c r="X51">
        <v>0.02</v>
      </c>
      <c r="Y51">
        <v>0</v>
      </c>
      <c r="Z51">
        <v>89.99</v>
      </c>
      <c r="AA51">
        <v>10.06</v>
      </c>
      <c r="AB51">
        <v>0</v>
      </c>
      <c r="AC51">
        <v>0</v>
      </c>
      <c r="AD51">
        <v>1</v>
      </c>
      <c r="AE51">
        <v>0</v>
      </c>
      <c r="AF51" t="s">
        <v>136</v>
      </c>
      <c r="AG51">
        <v>0.375</v>
      </c>
      <c r="AH51">
        <v>2</v>
      </c>
      <c r="AI51">
        <v>55655684</v>
      </c>
      <c r="AJ51">
        <v>47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ROW(Source!A76)</f>
        <v>76</v>
      </c>
      <c r="B52">
        <v>55655690</v>
      </c>
      <c r="C52">
        <v>55655680</v>
      </c>
      <c r="D52">
        <v>49460378</v>
      </c>
      <c r="E52">
        <v>58</v>
      </c>
      <c r="F52">
        <v>1</v>
      </c>
      <c r="G52">
        <v>1</v>
      </c>
      <c r="H52">
        <v>3</v>
      </c>
      <c r="I52" t="s">
        <v>341</v>
      </c>
      <c r="K52" t="s">
        <v>342</v>
      </c>
      <c r="L52">
        <v>1339</v>
      </c>
      <c r="N52">
        <v>1007</v>
      </c>
      <c r="O52" t="s">
        <v>50</v>
      </c>
      <c r="P52" t="s">
        <v>50</v>
      </c>
      <c r="Q52">
        <v>1</v>
      </c>
      <c r="X52">
        <v>0.102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 t="s">
        <v>135</v>
      </c>
      <c r="AG52">
        <v>1.5299999999999998</v>
      </c>
      <c r="AH52">
        <v>3</v>
      </c>
      <c r="AI52">
        <v>-1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ROW(Source!A79)</f>
        <v>79</v>
      </c>
      <c r="B53">
        <v>55655697</v>
      </c>
      <c r="C53">
        <v>55655692</v>
      </c>
      <c r="D53">
        <v>49459391</v>
      </c>
      <c r="E53">
        <v>58</v>
      </c>
      <c r="F53">
        <v>1</v>
      </c>
      <c r="G53">
        <v>1</v>
      </c>
      <c r="H53">
        <v>1</v>
      </c>
      <c r="I53" t="s">
        <v>302</v>
      </c>
      <c r="K53" t="s">
        <v>303</v>
      </c>
      <c r="L53">
        <v>1191</v>
      </c>
      <c r="N53">
        <v>1013</v>
      </c>
      <c r="O53" t="s">
        <v>270</v>
      </c>
      <c r="P53" t="s">
        <v>270</v>
      </c>
      <c r="Q53">
        <v>1</v>
      </c>
      <c r="X53">
        <v>2.8</v>
      </c>
      <c r="Y53">
        <v>0</v>
      </c>
      <c r="Z53">
        <v>0</v>
      </c>
      <c r="AA53">
        <v>0</v>
      </c>
      <c r="AB53">
        <v>8.74</v>
      </c>
      <c r="AC53">
        <v>0</v>
      </c>
      <c r="AD53">
        <v>1</v>
      </c>
      <c r="AE53">
        <v>1</v>
      </c>
      <c r="AF53" t="s">
        <v>118</v>
      </c>
      <c r="AG53">
        <v>3.2199999999999998</v>
      </c>
      <c r="AH53">
        <v>2</v>
      </c>
      <c r="AI53">
        <v>55655693</v>
      </c>
      <c r="AJ53">
        <v>49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ROW(Source!A79)</f>
        <v>79</v>
      </c>
      <c r="B54">
        <v>55655698</v>
      </c>
      <c r="C54">
        <v>55655692</v>
      </c>
      <c r="D54">
        <v>49459566</v>
      </c>
      <c r="E54">
        <v>58</v>
      </c>
      <c r="F54">
        <v>1</v>
      </c>
      <c r="G54">
        <v>1</v>
      </c>
      <c r="H54">
        <v>1</v>
      </c>
      <c r="I54" t="s">
        <v>289</v>
      </c>
      <c r="K54" t="s">
        <v>278</v>
      </c>
      <c r="L54">
        <v>1191</v>
      </c>
      <c r="N54">
        <v>1013</v>
      </c>
      <c r="O54" t="s">
        <v>270</v>
      </c>
      <c r="P54" t="s">
        <v>270</v>
      </c>
      <c r="Q54">
        <v>1</v>
      </c>
      <c r="X54">
        <v>0.04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2</v>
      </c>
      <c r="AF54" t="s">
        <v>117</v>
      </c>
      <c r="AG54">
        <v>0.05</v>
      </c>
      <c r="AH54">
        <v>2</v>
      </c>
      <c r="AI54">
        <v>55655694</v>
      </c>
      <c r="AJ54">
        <v>50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ROW(Source!A79)</f>
        <v>79</v>
      </c>
      <c r="B55">
        <v>55655699</v>
      </c>
      <c r="C55">
        <v>55655692</v>
      </c>
      <c r="D55">
        <v>49621268</v>
      </c>
      <c r="E55">
        <v>1</v>
      </c>
      <c r="F55">
        <v>1</v>
      </c>
      <c r="G55">
        <v>1</v>
      </c>
      <c r="H55">
        <v>2</v>
      </c>
      <c r="I55" t="s">
        <v>304</v>
      </c>
      <c r="J55" t="s">
        <v>305</v>
      </c>
      <c r="K55" t="s">
        <v>306</v>
      </c>
      <c r="L55">
        <v>1368</v>
      </c>
      <c r="N55">
        <v>1011</v>
      </c>
      <c r="O55" t="s">
        <v>274</v>
      </c>
      <c r="P55" t="s">
        <v>274</v>
      </c>
      <c r="Q55">
        <v>1</v>
      </c>
      <c r="X55">
        <v>0.04</v>
      </c>
      <c r="Y55">
        <v>0</v>
      </c>
      <c r="Z55">
        <v>65.71</v>
      </c>
      <c r="AA55">
        <v>11.6</v>
      </c>
      <c r="AB55">
        <v>0</v>
      </c>
      <c r="AC55">
        <v>0</v>
      </c>
      <c r="AD55">
        <v>1</v>
      </c>
      <c r="AE55">
        <v>0</v>
      </c>
      <c r="AF55" t="s">
        <v>117</v>
      </c>
      <c r="AG55">
        <v>0.05</v>
      </c>
      <c r="AH55">
        <v>2</v>
      </c>
      <c r="AI55">
        <v>55655695</v>
      </c>
      <c r="AJ55">
        <v>51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ROW(Source!A79)</f>
        <v>79</v>
      </c>
      <c r="B56">
        <v>55655700</v>
      </c>
      <c r="C56">
        <v>55655692</v>
      </c>
      <c r="D56">
        <v>49469859</v>
      </c>
      <c r="E56">
        <v>1</v>
      </c>
      <c r="F56">
        <v>1</v>
      </c>
      <c r="G56">
        <v>1</v>
      </c>
      <c r="H56">
        <v>3</v>
      </c>
      <c r="I56" t="s">
        <v>307</v>
      </c>
      <c r="J56" t="s">
        <v>308</v>
      </c>
      <c r="K56" t="s">
        <v>309</v>
      </c>
      <c r="L56">
        <v>1348</v>
      </c>
      <c r="N56">
        <v>1009</v>
      </c>
      <c r="O56" t="s">
        <v>129</v>
      </c>
      <c r="P56" t="s">
        <v>129</v>
      </c>
      <c r="Q56">
        <v>1000</v>
      </c>
      <c r="X56">
        <v>0.045</v>
      </c>
      <c r="Y56">
        <v>2000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G56">
        <v>0.045</v>
      </c>
      <c r="AH56">
        <v>2</v>
      </c>
      <c r="AI56">
        <v>55655696</v>
      </c>
      <c r="AJ56">
        <v>52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ROW(Source!A80)</f>
        <v>80</v>
      </c>
      <c r="B57">
        <v>55655697</v>
      </c>
      <c r="C57">
        <v>55655692</v>
      </c>
      <c r="D57">
        <v>49459391</v>
      </c>
      <c r="E57">
        <v>58</v>
      </c>
      <c r="F57">
        <v>1</v>
      </c>
      <c r="G57">
        <v>1</v>
      </c>
      <c r="H57">
        <v>1</v>
      </c>
      <c r="I57" t="s">
        <v>302</v>
      </c>
      <c r="K57" t="s">
        <v>303</v>
      </c>
      <c r="L57">
        <v>1191</v>
      </c>
      <c r="N57">
        <v>1013</v>
      </c>
      <c r="O57" t="s">
        <v>270</v>
      </c>
      <c r="P57" t="s">
        <v>270</v>
      </c>
      <c r="Q57">
        <v>1</v>
      </c>
      <c r="X57">
        <v>2.8</v>
      </c>
      <c r="Y57">
        <v>0</v>
      </c>
      <c r="Z57">
        <v>0</v>
      </c>
      <c r="AA57">
        <v>0</v>
      </c>
      <c r="AB57">
        <v>8.74</v>
      </c>
      <c r="AC57">
        <v>0</v>
      </c>
      <c r="AD57">
        <v>1</v>
      </c>
      <c r="AE57">
        <v>1</v>
      </c>
      <c r="AF57" t="s">
        <v>118</v>
      </c>
      <c r="AG57">
        <v>3.2199999999999998</v>
      </c>
      <c r="AH57">
        <v>2</v>
      </c>
      <c r="AI57">
        <v>55655693</v>
      </c>
      <c r="AJ57">
        <v>53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ROW(Source!A80)</f>
        <v>80</v>
      </c>
      <c r="B58">
        <v>55655698</v>
      </c>
      <c r="C58">
        <v>55655692</v>
      </c>
      <c r="D58">
        <v>49459566</v>
      </c>
      <c r="E58">
        <v>58</v>
      </c>
      <c r="F58">
        <v>1</v>
      </c>
      <c r="G58">
        <v>1</v>
      </c>
      <c r="H58">
        <v>1</v>
      </c>
      <c r="I58" t="s">
        <v>289</v>
      </c>
      <c r="K58" t="s">
        <v>278</v>
      </c>
      <c r="L58">
        <v>1191</v>
      </c>
      <c r="N58">
        <v>1013</v>
      </c>
      <c r="O58" t="s">
        <v>270</v>
      </c>
      <c r="P58" t="s">
        <v>270</v>
      </c>
      <c r="Q58">
        <v>1</v>
      </c>
      <c r="X58">
        <v>0.04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2</v>
      </c>
      <c r="AF58" t="s">
        <v>117</v>
      </c>
      <c r="AG58">
        <v>0.05</v>
      </c>
      <c r="AH58">
        <v>2</v>
      </c>
      <c r="AI58">
        <v>55655694</v>
      </c>
      <c r="AJ58">
        <v>54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ROW(Source!A80)</f>
        <v>80</v>
      </c>
      <c r="B59">
        <v>55655699</v>
      </c>
      <c r="C59">
        <v>55655692</v>
      </c>
      <c r="D59">
        <v>49621268</v>
      </c>
      <c r="E59">
        <v>1</v>
      </c>
      <c r="F59">
        <v>1</v>
      </c>
      <c r="G59">
        <v>1</v>
      </c>
      <c r="H59">
        <v>2</v>
      </c>
      <c r="I59" t="s">
        <v>304</v>
      </c>
      <c r="J59" t="s">
        <v>305</v>
      </c>
      <c r="K59" t="s">
        <v>306</v>
      </c>
      <c r="L59">
        <v>1368</v>
      </c>
      <c r="N59">
        <v>1011</v>
      </c>
      <c r="O59" t="s">
        <v>274</v>
      </c>
      <c r="P59" t="s">
        <v>274</v>
      </c>
      <c r="Q59">
        <v>1</v>
      </c>
      <c r="X59">
        <v>0.04</v>
      </c>
      <c r="Y59">
        <v>0</v>
      </c>
      <c r="Z59">
        <v>65.71</v>
      </c>
      <c r="AA59">
        <v>11.6</v>
      </c>
      <c r="AB59">
        <v>0</v>
      </c>
      <c r="AC59">
        <v>0</v>
      </c>
      <c r="AD59">
        <v>1</v>
      </c>
      <c r="AE59">
        <v>0</v>
      </c>
      <c r="AF59" t="s">
        <v>117</v>
      </c>
      <c r="AG59">
        <v>0.05</v>
      </c>
      <c r="AH59">
        <v>2</v>
      </c>
      <c r="AI59">
        <v>55655695</v>
      </c>
      <c r="AJ59">
        <v>55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ROW(Source!A80)</f>
        <v>80</v>
      </c>
      <c r="B60">
        <v>55655700</v>
      </c>
      <c r="C60">
        <v>55655692</v>
      </c>
      <c r="D60">
        <v>49469859</v>
      </c>
      <c r="E60">
        <v>1</v>
      </c>
      <c r="F60">
        <v>1</v>
      </c>
      <c r="G60">
        <v>1</v>
      </c>
      <c r="H60">
        <v>3</v>
      </c>
      <c r="I60" t="s">
        <v>307</v>
      </c>
      <c r="J60" t="s">
        <v>308</v>
      </c>
      <c r="K60" t="s">
        <v>309</v>
      </c>
      <c r="L60">
        <v>1348</v>
      </c>
      <c r="N60">
        <v>1009</v>
      </c>
      <c r="O60" t="s">
        <v>129</v>
      </c>
      <c r="P60" t="s">
        <v>129</v>
      </c>
      <c r="Q60">
        <v>1000</v>
      </c>
      <c r="X60">
        <v>0.045</v>
      </c>
      <c r="Y60">
        <v>2000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G60">
        <v>0.045</v>
      </c>
      <c r="AH60">
        <v>2</v>
      </c>
      <c r="AI60">
        <v>55655696</v>
      </c>
      <c r="AJ60">
        <v>56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ROW(Source!A81)</f>
        <v>81</v>
      </c>
      <c r="B61">
        <v>55656138</v>
      </c>
      <c r="C61">
        <v>55656137</v>
      </c>
      <c r="D61">
        <v>53630067</v>
      </c>
      <c r="E61">
        <v>70</v>
      </c>
      <c r="F61">
        <v>1</v>
      </c>
      <c r="G61">
        <v>1</v>
      </c>
      <c r="H61">
        <v>1</v>
      </c>
      <c r="I61" t="s">
        <v>310</v>
      </c>
      <c r="K61" t="s">
        <v>311</v>
      </c>
      <c r="L61">
        <v>1191</v>
      </c>
      <c r="N61">
        <v>1013</v>
      </c>
      <c r="O61" t="s">
        <v>270</v>
      </c>
      <c r="P61" t="s">
        <v>270</v>
      </c>
      <c r="Q61">
        <v>1</v>
      </c>
      <c r="X61">
        <v>97.2</v>
      </c>
      <c r="Y61">
        <v>0</v>
      </c>
      <c r="Z61">
        <v>0</v>
      </c>
      <c r="AA61">
        <v>0</v>
      </c>
      <c r="AB61">
        <v>8.53</v>
      </c>
      <c r="AC61">
        <v>0</v>
      </c>
      <c r="AD61">
        <v>1</v>
      </c>
      <c r="AE61">
        <v>1</v>
      </c>
      <c r="AF61" t="s">
        <v>118</v>
      </c>
      <c r="AG61">
        <v>111.78</v>
      </c>
      <c r="AH61">
        <v>2</v>
      </c>
      <c r="AI61">
        <v>55656138</v>
      </c>
      <c r="AJ61">
        <v>57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ROW(Source!A81)</f>
        <v>81</v>
      </c>
      <c r="B62">
        <v>55656139</v>
      </c>
      <c r="C62">
        <v>55656137</v>
      </c>
      <c r="D62">
        <v>53630257</v>
      </c>
      <c r="E62">
        <v>70</v>
      </c>
      <c r="F62">
        <v>1</v>
      </c>
      <c r="G62">
        <v>1</v>
      </c>
      <c r="H62">
        <v>1</v>
      </c>
      <c r="I62" t="s">
        <v>277</v>
      </c>
      <c r="K62" t="s">
        <v>278</v>
      </c>
      <c r="L62">
        <v>1191</v>
      </c>
      <c r="N62">
        <v>1013</v>
      </c>
      <c r="O62" t="s">
        <v>270</v>
      </c>
      <c r="P62" t="s">
        <v>270</v>
      </c>
      <c r="Q62">
        <v>1</v>
      </c>
      <c r="X62">
        <v>0.27</v>
      </c>
      <c r="Y62">
        <v>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2</v>
      </c>
      <c r="AF62" t="s">
        <v>117</v>
      </c>
      <c r="AG62">
        <v>0.3375</v>
      </c>
      <c r="AH62">
        <v>2</v>
      </c>
      <c r="AI62">
        <v>55656139</v>
      </c>
      <c r="AJ62">
        <v>58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ROW(Source!A81)</f>
        <v>81</v>
      </c>
      <c r="B63">
        <v>55656140</v>
      </c>
      <c r="C63">
        <v>55656137</v>
      </c>
      <c r="D63">
        <v>53791939</v>
      </c>
      <c r="E63">
        <v>1</v>
      </c>
      <c r="F63">
        <v>1</v>
      </c>
      <c r="G63">
        <v>1</v>
      </c>
      <c r="H63">
        <v>2</v>
      </c>
      <c r="I63" t="s">
        <v>290</v>
      </c>
      <c r="J63" t="s">
        <v>291</v>
      </c>
      <c r="K63" t="s">
        <v>292</v>
      </c>
      <c r="L63">
        <v>1367</v>
      </c>
      <c r="N63">
        <v>1011</v>
      </c>
      <c r="O63" t="s">
        <v>282</v>
      </c>
      <c r="P63" t="s">
        <v>282</v>
      </c>
      <c r="Q63">
        <v>1</v>
      </c>
      <c r="X63">
        <v>0.2</v>
      </c>
      <c r="Y63">
        <v>0</v>
      </c>
      <c r="Z63">
        <v>86.4</v>
      </c>
      <c r="AA63">
        <v>13.5</v>
      </c>
      <c r="AB63">
        <v>0</v>
      </c>
      <c r="AC63">
        <v>0</v>
      </c>
      <c r="AD63">
        <v>1</v>
      </c>
      <c r="AE63">
        <v>0</v>
      </c>
      <c r="AF63" t="s">
        <v>117</v>
      </c>
      <c r="AG63">
        <v>0.25</v>
      </c>
      <c r="AH63">
        <v>2</v>
      </c>
      <c r="AI63">
        <v>55656140</v>
      </c>
      <c r="AJ63">
        <v>59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ROW(Source!A81)</f>
        <v>81</v>
      </c>
      <c r="B64">
        <v>55656141</v>
      </c>
      <c r="C64">
        <v>55656137</v>
      </c>
      <c r="D64">
        <v>53792927</v>
      </c>
      <c r="E64">
        <v>1</v>
      </c>
      <c r="F64">
        <v>1</v>
      </c>
      <c r="G64">
        <v>1</v>
      </c>
      <c r="H64">
        <v>2</v>
      </c>
      <c r="I64" t="s">
        <v>304</v>
      </c>
      <c r="J64" t="s">
        <v>305</v>
      </c>
      <c r="K64" t="s">
        <v>306</v>
      </c>
      <c r="L64">
        <v>1367</v>
      </c>
      <c r="N64">
        <v>1011</v>
      </c>
      <c r="O64" t="s">
        <v>282</v>
      </c>
      <c r="P64" t="s">
        <v>282</v>
      </c>
      <c r="Q64">
        <v>1</v>
      </c>
      <c r="X64">
        <v>0.07</v>
      </c>
      <c r="Y64">
        <v>0</v>
      </c>
      <c r="Z64">
        <v>65.71</v>
      </c>
      <c r="AA64">
        <v>11.6</v>
      </c>
      <c r="AB64">
        <v>0</v>
      </c>
      <c r="AC64">
        <v>0</v>
      </c>
      <c r="AD64">
        <v>1</v>
      </c>
      <c r="AE64">
        <v>0</v>
      </c>
      <c r="AF64" t="s">
        <v>117</v>
      </c>
      <c r="AG64">
        <v>0.08750000000000001</v>
      </c>
      <c r="AH64">
        <v>2</v>
      </c>
      <c r="AI64">
        <v>55656141</v>
      </c>
      <c r="AJ64">
        <v>60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ROW(Source!A81)</f>
        <v>81</v>
      </c>
      <c r="B65">
        <v>55656142</v>
      </c>
      <c r="C65">
        <v>55656137</v>
      </c>
      <c r="D65">
        <v>53644957</v>
      </c>
      <c r="E65">
        <v>1</v>
      </c>
      <c r="F65">
        <v>1</v>
      </c>
      <c r="G65">
        <v>1</v>
      </c>
      <c r="H65">
        <v>3</v>
      </c>
      <c r="I65" t="s">
        <v>312</v>
      </c>
      <c r="J65" t="s">
        <v>313</v>
      </c>
      <c r="K65" t="s">
        <v>314</v>
      </c>
      <c r="L65">
        <v>1348</v>
      </c>
      <c r="N65">
        <v>1009</v>
      </c>
      <c r="O65" t="s">
        <v>129</v>
      </c>
      <c r="P65" t="s">
        <v>129</v>
      </c>
      <c r="Q65">
        <v>1000</v>
      </c>
      <c r="X65">
        <v>0.004</v>
      </c>
      <c r="Y65">
        <v>8475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G65">
        <v>0.004</v>
      </c>
      <c r="AH65">
        <v>2</v>
      </c>
      <c r="AI65">
        <v>55656142</v>
      </c>
      <c r="AJ65">
        <v>61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ROW(Source!A81)</f>
        <v>81</v>
      </c>
      <c r="B66">
        <v>55656143</v>
      </c>
      <c r="C66">
        <v>55656137</v>
      </c>
      <c r="D66">
        <v>53662057</v>
      </c>
      <c r="E66">
        <v>1</v>
      </c>
      <c r="F66">
        <v>1</v>
      </c>
      <c r="G66">
        <v>1</v>
      </c>
      <c r="H66">
        <v>3</v>
      </c>
      <c r="I66" t="s">
        <v>315</v>
      </c>
      <c r="J66" t="s">
        <v>316</v>
      </c>
      <c r="K66" t="s">
        <v>317</v>
      </c>
      <c r="L66">
        <v>1348</v>
      </c>
      <c r="N66">
        <v>1009</v>
      </c>
      <c r="O66" t="s">
        <v>129</v>
      </c>
      <c r="P66" t="s">
        <v>129</v>
      </c>
      <c r="Q66">
        <v>1000</v>
      </c>
      <c r="X66">
        <v>0.012</v>
      </c>
      <c r="Y66">
        <v>8190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G66">
        <v>0.012</v>
      </c>
      <c r="AH66">
        <v>2</v>
      </c>
      <c r="AI66">
        <v>55656143</v>
      </c>
      <c r="AJ66">
        <v>62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ROW(Source!A81)</f>
        <v>81</v>
      </c>
      <c r="B67">
        <v>55656144</v>
      </c>
      <c r="C67">
        <v>55656137</v>
      </c>
      <c r="D67">
        <v>53662302</v>
      </c>
      <c r="E67">
        <v>1</v>
      </c>
      <c r="F67">
        <v>1</v>
      </c>
      <c r="G67">
        <v>1</v>
      </c>
      <c r="H67">
        <v>3</v>
      </c>
      <c r="I67" t="s">
        <v>318</v>
      </c>
      <c r="J67" t="s">
        <v>319</v>
      </c>
      <c r="K67" t="s">
        <v>320</v>
      </c>
      <c r="L67">
        <v>1348</v>
      </c>
      <c r="N67">
        <v>1009</v>
      </c>
      <c r="O67" t="s">
        <v>129</v>
      </c>
      <c r="P67" t="s">
        <v>129</v>
      </c>
      <c r="Q67">
        <v>1000</v>
      </c>
      <c r="X67">
        <v>0.57</v>
      </c>
      <c r="Y67">
        <v>11200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G67">
        <v>0.57</v>
      </c>
      <c r="AH67">
        <v>2</v>
      </c>
      <c r="AI67">
        <v>55656144</v>
      </c>
      <c r="AJ67">
        <v>63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ROW(Source!A82)</f>
        <v>82</v>
      </c>
      <c r="B68">
        <v>55656138</v>
      </c>
      <c r="C68">
        <v>55656137</v>
      </c>
      <c r="D68">
        <v>53630067</v>
      </c>
      <c r="E68">
        <v>70</v>
      </c>
      <c r="F68">
        <v>1</v>
      </c>
      <c r="G68">
        <v>1</v>
      </c>
      <c r="H68">
        <v>1</v>
      </c>
      <c r="I68" t="s">
        <v>310</v>
      </c>
      <c r="K68" t="s">
        <v>311</v>
      </c>
      <c r="L68">
        <v>1191</v>
      </c>
      <c r="N68">
        <v>1013</v>
      </c>
      <c r="O68" t="s">
        <v>270</v>
      </c>
      <c r="P68" t="s">
        <v>270</v>
      </c>
      <c r="Q68">
        <v>1</v>
      </c>
      <c r="X68">
        <v>97.2</v>
      </c>
      <c r="Y68">
        <v>0</v>
      </c>
      <c r="Z68">
        <v>0</v>
      </c>
      <c r="AA68">
        <v>0</v>
      </c>
      <c r="AB68">
        <v>8.53</v>
      </c>
      <c r="AC68">
        <v>0</v>
      </c>
      <c r="AD68">
        <v>1</v>
      </c>
      <c r="AE68">
        <v>1</v>
      </c>
      <c r="AF68" t="s">
        <v>118</v>
      </c>
      <c r="AG68">
        <v>111.78</v>
      </c>
      <c r="AH68">
        <v>2</v>
      </c>
      <c r="AI68">
        <v>55656138</v>
      </c>
      <c r="AJ68">
        <v>64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ROW(Source!A82)</f>
        <v>82</v>
      </c>
      <c r="B69">
        <v>55656139</v>
      </c>
      <c r="C69">
        <v>55656137</v>
      </c>
      <c r="D69">
        <v>53630257</v>
      </c>
      <c r="E69">
        <v>70</v>
      </c>
      <c r="F69">
        <v>1</v>
      </c>
      <c r="G69">
        <v>1</v>
      </c>
      <c r="H69">
        <v>1</v>
      </c>
      <c r="I69" t="s">
        <v>277</v>
      </c>
      <c r="K69" t="s">
        <v>278</v>
      </c>
      <c r="L69">
        <v>1191</v>
      </c>
      <c r="N69">
        <v>1013</v>
      </c>
      <c r="O69" t="s">
        <v>270</v>
      </c>
      <c r="P69" t="s">
        <v>270</v>
      </c>
      <c r="Q69">
        <v>1</v>
      </c>
      <c r="X69">
        <v>0.27</v>
      </c>
      <c r="Y69">
        <v>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2</v>
      </c>
      <c r="AF69" t="s">
        <v>117</v>
      </c>
      <c r="AG69">
        <v>0.3375</v>
      </c>
      <c r="AH69">
        <v>2</v>
      </c>
      <c r="AI69">
        <v>55656139</v>
      </c>
      <c r="AJ69">
        <v>65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ROW(Source!A82)</f>
        <v>82</v>
      </c>
      <c r="B70">
        <v>55656140</v>
      </c>
      <c r="C70">
        <v>55656137</v>
      </c>
      <c r="D70">
        <v>53791939</v>
      </c>
      <c r="E70">
        <v>1</v>
      </c>
      <c r="F70">
        <v>1</v>
      </c>
      <c r="G70">
        <v>1</v>
      </c>
      <c r="H70">
        <v>2</v>
      </c>
      <c r="I70" t="s">
        <v>290</v>
      </c>
      <c r="J70" t="s">
        <v>291</v>
      </c>
      <c r="K70" t="s">
        <v>292</v>
      </c>
      <c r="L70">
        <v>1367</v>
      </c>
      <c r="N70">
        <v>1011</v>
      </c>
      <c r="O70" t="s">
        <v>282</v>
      </c>
      <c r="P70" t="s">
        <v>282</v>
      </c>
      <c r="Q70">
        <v>1</v>
      </c>
      <c r="X70">
        <v>0.2</v>
      </c>
      <c r="Y70">
        <v>0</v>
      </c>
      <c r="Z70">
        <v>86.4</v>
      </c>
      <c r="AA70">
        <v>13.5</v>
      </c>
      <c r="AB70">
        <v>0</v>
      </c>
      <c r="AC70">
        <v>0</v>
      </c>
      <c r="AD70">
        <v>1</v>
      </c>
      <c r="AE70">
        <v>0</v>
      </c>
      <c r="AF70" t="s">
        <v>117</v>
      </c>
      <c r="AG70">
        <v>0.25</v>
      </c>
      <c r="AH70">
        <v>2</v>
      </c>
      <c r="AI70">
        <v>55656140</v>
      </c>
      <c r="AJ70">
        <v>66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ROW(Source!A82)</f>
        <v>82</v>
      </c>
      <c r="B71">
        <v>55656141</v>
      </c>
      <c r="C71">
        <v>55656137</v>
      </c>
      <c r="D71">
        <v>53792927</v>
      </c>
      <c r="E71">
        <v>1</v>
      </c>
      <c r="F71">
        <v>1</v>
      </c>
      <c r="G71">
        <v>1</v>
      </c>
      <c r="H71">
        <v>2</v>
      </c>
      <c r="I71" t="s">
        <v>304</v>
      </c>
      <c r="J71" t="s">
        <v>305</v>
      </c>
      <c r="K71" t="s">
        <v>306</v>
      </c>
      <c r="L71">
        <v>1367</v>
      </c>
      <c r="N71">
        <v>1011</v>
      </c>
      <c r="O71" t="s">
        <v>282</v>
      </c>
      <c r="P71" t="s">
        <v>282</v>
      </c>
      <c r="Q71">
        <v>1</v>
      </c>
      <c r="X71">
        <v>0.07</v>
      </c>
      <c r="Y71">
        <v>0</v>
      </c>
      <c r="Z71">
        <v>65.71</v>
      </c>
      <c r="AA71">
        <v>11.6</v>
      </c>
      <c r="AB71">
        <v>0</v>
      </c>
      <c r="AC71">
        <v>0</v>
      </c>
      <c r="AD71">
        <v>1</v>
      </c>
      <c r="AE71">
        <v>0</v>
      </c>
      <c r="AF71" t="s">
        <v>117</v>
      </c>
      <c r="AG71">
        <v>0.08750000000000001</v>
      </c>
      <c r="AH71">
        <v>2</v>
      </c>
      <c r="AI71">
        <v>55656141</v>
      </c>
      <c r="AJ71">
        <v>67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ROW(Source!A82)</f>
        <v>82</v>
      </c>
      <c r="B72">
        <v>55656142</v>
      </c>
      <c r="C72">
        <v>55656137</v>
      </c>
      <c r="D72">
        <v>53644957</v>
      </c>
      <c r="E72">
        <v>1</v>
      </c>
      <c r="F72">
        <v>1</v>
      </c>
      <c r="G72">
        <v>1</v>
      </c>
      <c r="H72">
        <v>3</v>
      </c>
      <c r="I72" t="s">
        <v>312</v>
      </c>
      <c r="J72" t="s">
        <v>313</v>
      </c>
      <c r="K72" t="s">
        <v>314</v>
      </c>
      <c r="L72">
        <v>1348</v>
      </c>
      <c r="N72">
        <v>1009</v>
      </c>
      <c r="O72" t="s">
        <v>129</v>
      </c>
      <c r="P72" t="s">
        <v>129</v>
      </c>
      <c r="Q72">
        <v>1000</v>
      </c>
      <c r="X72">
        <v>0.004</v>
      </c>
      <c r="Y72">
        <v>8475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G72">
        <v>0.004</v>
      </c>
      <c r="AH72">
        <v>2</v>
      </c>
      <c r="AI72">
        <v>55656142</v>
      </c>
      <c r="AJ72">
        <v>68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ROW(Source!A82)</f>
        <v>82</v>
      </c>
      <c r="B73">
        <v>55656143</v>
      </c>
      <c r="C73">
        <v>55656137</v>
      </c>
      <c r="D73">
        <v>53662057</v>
      </c>
      <c r="E73">
        <v>1</v>
      </c>
      <c r="F73">
        <v>1</v>
      </c>
      <c r="G73">
        <v>1</v>
      </c>
      <c r="H73">
        <v>3</v>
      </c>
      <c r="I73" t="s">
        <v>315</v>
      </c>
      <c r="J73" t="s">
        <v>316</v>
      </c>
      <c r="K73" t="s">
        <v>317</v>
      </c>
      <c r="L73">
        <v>1348</v>
      </c>
      <c r="N73">
        <v>1009</v>
      </c>
      <c r="O73" t="s">
        <v>129</v>
      </c>
      <c r="P73" t="s">
        <v>129</v>
      </c>
      <c r="Q73">
        <v>1000</v>
      </c>
      <c r="X73">
        <v>0.012</v>
      </c>
      <c r="Y73">
        <v>8190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G73">
        <v>0.012</v>
      </c>
      <c r="AH73">
        <v>2</v>
      </c>
      <c r="AI73">
        <v>55656143</v>
      </c>
      <c r="AJ73">
        <v>69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ROW(Source!A82)</f>
        <v>82</v>
      </c>
      <c r="B74">
        <v>55656144</v>
      </c>
      <c r="C74">
        <v>55656137</v>
      </c>
      <c r="D74">
        <v>53662302</v>
      </c>
      <c r="E74">
        <v>1</v>
      </c>
      <c r="F74">
        <v>1</v>
      </c>
      <c r="G74">
        <v>1</v>
      </c>
      <c r="H74">
        <v>3</v>
      </c>
      <c r="I74" t="s">
        <v>318</v>
      </c>
      <c r="J74" t="s">
        <v>319</v>
      </c>
      <c r="K74" t="s">
        <v>320</v>
      </c>
      <c r="L74">
        <v>1348</v>
      </c>
      <c r="N74">
        <v>1009</v>
      </c>
      <c r="O74" t="s">
        <v>129</v>
      </c>
      <c r="P74" t="s">
        <v>129</v>
      </c>
      <c r="Q74">
        <v>1000</v>
      </c>
      <c r="X74">
        <v>0.57</v>
      </c>
      <c r="Y74">
        <v>11200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G74">
        <v>0.57</v>
      </c>
      <c r="AH74">
        <v>2</v>
      </c>
      <c r="AI74">
        <v>55656144</v>
      </c>
      <c r="AJ74">
        <v>70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ROW(Source!A83)</f>
        <v>83</v>
      </c>
      <c r="B75">
        <v>55655727</v>
      </c>
      <c r="C75">
        <v>55655718</v>
      </c>
      <c r="D75">
        <v>49459419</v>
      </c>
      <c r="E75">
        <v>58</v>
      </c>
      <c r="F75">
        <v>1</v>
      </c>
      <c r="G75">
        <v>1</v>
      </c>
      <c r="H75">
        <v>1</v>
      </c>
      <c r="I75" t="s">
        <v>321</v>
      </c>
      <c r="K75" t="s">
        <v>322</v>
      </c>
      <c r="L75">
        <v>1191</v>
      </c>
      <c r="N75">
        <v>1013</v>
      </c>
      <c r="O75" t="s">
        <v>270</v>
      </c>
      <c r="P75" t="s">
        <v>270</v>
      </c>
      <c r="Q75">
        <v>1</v>
      </c>
      <c r="X75">
        <v>14.36</v>
      </c>
      <c r="Y75">
        <v>0</v>
      </c>
      <c r="Z75">
        <v>0</v>
      </c>
      <c r="AA75">
        <v>0</v>
      </c>
      <c r="AB75">
        <v>9.4</v>
      </c>
      <c r="AC75">
        <v>0</v>
      </c>
      <c r="AD75">
        <v>1</v>
      </c>
      <c r="AE75">
        <v>1</v>
      </c>
      <c r="AF75" t="s">
        <v>118</v>
      </c>
      <c r="AG75">
        <v>16.514</v>
      </c>
      <c r="AH75">
        <v>2</v>
      </c>
      <c r="AI75">
        <v>55655719</v>
      </c>
      <c r="AJ75">
        <v>71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ROW(Source!A83)</f>
        <v>83</v>
      </c>
      <c r="B76">
        <v>55655728</v>
      </c>
      <c r="C76">
        <v>55655718</v>
      </c>
      <c r="D76">
        <v>49459566</v>
      </c>
      <c r="E76">
        <v>58</v>
      </c>
      <c r="F76">
        <v>1</v>
      </c>
      <c r="G76">
        <v>1</v>
      </c>
      <c r="H76">
        <v>1</v>
      </c>
      <c r="I76" t="s">
        <v>289</v>
      </c>
      <c r="K76" t="s">
        <v>278</v>
      </c>
      <c r="L76">
        <v>1191</v>
      </c>
      <c r="N76">
        <v>1013</v>
      </c>
      <c r="O76" t="s">
        <v>270</v>
      </c>
      <c r="P76" t="s">
        <v>270</v>
      </c>
      <c r="Q76">
        <v>1</v>
      </c>
      <c r="X76">
        <v>0.29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2</v>
      </c>
      <c r="AF76" t="s">
        <v>117</v>
      </c>
      <c r="AG76">
        <v>0.3625</v>
      </c>
      <c r="AH76">
        <v>2</v>
      </c>
      <c r="AI76">
        <v>55655720</v>
      </c>
      <c r="AJ76">
        <v>72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ROW(Source!A83)</f>
        <v>83</v>
      </c>
      <c r="B77">
        <v>55655729</v>
      </c>
      <c r="C77">
        <v>55655718</v>
      </c>
      <c r="D77">
        <v>49620286</v>
      </c>
      <c r="E77">
        <v>1</v>
      </c>
      <c r="F77">
        <v>1</v>
      </c>
      <c r="G77">
        <v>1</v>
      </c>
      <c r="H77">
        <v>2</v>
      </c>
      <c r="I77" t="s">
        <v>290</v>
      </c>
      <c r="J77" t="s">
        <v>291</v>
      </c>
      <c r="K77" t="s">
        <v>292</v>
      </c>
      <c r="L77">
        <v>1368</v>
      </c>
      <c r="N77">
        <v>1011</v>
      </c>
      <c r="O77" t="s">
        <v>274</v>
      </c>
      <c r="P77" t="s">
        <v>274</v>
      </c>
      <c r="Q77">
        <v>1</v>
      </c>
      <c r="X77">
        <v>0.15</v>
      </c>
      <c r="Y77">
        <v>0</v>
      </c>
      <c r="Z77">
        <v>86.4</v>
      </c>
      <c r="AA77">
        <v>13.5</v>
      </c>
      <c r="AB77">
        <v>0</v>
      </c>
      <c r="AC77">
        <v>0</v>
      </c>
      <c r="AD77">
        <v>1</v>
      </c>
      <c r="AE77">
        <v>0</v>
      </c>
      <c r="AF77" t="s">
        <v>117</v>
      </c>
      <c r="AG77">
        <v>0.1875</v>
      </c>
      <c r="AH77">
        <v>2</v>
      </c>
      <c r="AI77">
        <v>55655721</v>
      </c>
      <c r="AJ77">
        <v>73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ROW(Source!A83)</f>
        <v>83</v>
      </c>
      <c r="B78">
        <v>55655730</v>
      </c>
      <c r="C78">
        <v>55655718</v>
      </c>
      <c r="D78">
        <v>49620344</v>
      </c>
      <c r="E78">
        <v>1</v>
      </c>
      <c r="F78">
        <v>1</v>
      </c>
      <c r="G78">
        <v>1</v>
      </c>
      <c r="H78">
        <v>2</v>
      </c>
      <c r="I78" t="s">
        <v>323</v>
      </c>
      <c r="J78" t="s">
        <v>324</v>
      </c>
      <c r="K78" t="s">
        <v>325</v>
      </c>
      <c r="L78">
        <v>1368</v>
      </c>
      <c r="N78">
        <v>1011</v>
      </c>
      <c r="O78" t="s">
        <v>274</v>
      </c>
      <c r="P78" t="s">
        <v>274</v>
      </c>
      <c r="Q78">
        <v>1</v>
      </c>
      <c r="X78">
        <v>0.05</v>
      </c>
      <c r="Y78">
        <v>0</v>
      </c>
      <c r="Z78">
        <v>115.4</v>
      </c>
      <c r="AA78">
        <v>13.5</v>
      </c>
      <c r="AB78">
        <v>0</v>
      </c>
      <c r="AC78">
        <v>0</v>
      </c>
      <c r="AD78">
        <v>1</v>
      </c>
      <c r="AE78">
        <v>0</v>
      </c>
      <c r="AF78" t="s">
        <v>117</v>
      </c>
      <c r="AG78">
        <v>0.0625</v>
      </c>
      <c r="AH78">
        <v>2</v>
      </c>
      <c r="AI78">
        <v>55655722</v>
      </c>
      <c r="AJ78">
        <v>74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ROW(Source!A83)</f>
        <v>83</v>
      </c>
      <c r="B79">
        <v>55655731</v>
      </c>
      <c r="C79">
        <v>55655718</v>
      </c>
      <c r="D79">
        <v>49621268</v>
      </c>
      <c r="E79">
        <v>1</v>
      </c>
      <c r="F79">
        <v>1</v>
      </c>
      <c r="G79">
        <v>1</v>
      </c>
      <c r="H79">
        <v>2</v>
      </c>
      <c r="I79" t="s">
        <v>304</v>
      </c>
      <c r="J79" t="s">
        <v>305</v>
      </c>
      <c r="K79" t="s">
        <v>306</v>
      </c>
      <c r="L79">
        <v>1368</v>
      </c>
      <c r="N79">
        <v>1011</v>
      </c>
      <c r="O79" t="s">
        <v>274</v>
      </c>
      <c r="P79" t="s">
        <v>274</v>
      </c>
      <c r="Q79">
        <v>1</v>
      </c>
      <c r="X79">
        <v>0.09</v>
      </c>
      <c r="Y79">
        <v>0</v>
      </c>
      <c r="Z79">
        <v>65.71</v>
      </c>
      <c r="AA79">
        <v>11.6</v>
      </c>
      <c r="AB79">
        <v>0</v>
      </c>
      <c r="AC79">
        <v>0</v>
      </c>
      <c r="AD79">
        <v>1</v>
      </c>
      <c r="AE79">
        <v>0</v>
      </c>
      <c r="AF79" t="s">
        <v>117</v>
      </c>
      <c r="AG79">
        <v>0.11249999999999999</v>
      </c>
      <c r="AH79">
        <v>2</v>
      </c>
      <c r="AI79">
        <v>55655723</v>
      </c>
      <c r="AJ79">
        <v>75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ROW(Source!A83)</f>
        <v>83</v>
      </c>
      <c r="B80">
        <v>55655732</v>
      </c>
      <c r="C80">
        <v>55655718</v>
      </c>
      <c r="D80">
        <v>49470012</v>
      </c>
      <c r="E80">
        <v>1</v>
      </c>
      <c r="F80">
        <v>1</v>
      </c>
      <c r="G80">
        <v>1</v>
      </c>
      <c r="H80">
        <v>3</v>
      </c>
      <c r="I80" t="s">
        <v>326</v>
      </c>
      <c r="J80" t="s">
        <v>327</v>
      </c>
      <c r="K80" t="s">
        <v>328</v>
      </c>
      <c r="L80">
        <v>1346</v>
      </c>
      <c r="N80">
        <v>1009</v>
      </c>
      <c r="O80" t="s">
        <v>329</v>
      </c>
      <c r="P80" t="s">
        <v>329</v>
      </c>
      <c r="Q80">
        <v>1</v>
      </c>
      <c r="X80">
        <v>29.94</v>
      </c>
      <c r="Y80">
        <v>6.09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G80">
        <v>29.94</v>
      </c>
      <c r="AH80">
        <v>2</v>
      </c>
      <c r="AI80">
        <v>55655724</v>
      </c>
      <c r="AJ80">
        <v>76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ROW(Source!A83)</f>
        <v>83</v>
      </c>
      <c r="B81">
        <v>55655733</v>
      </c>
      <c r="C81">
        <v>55655718</v>
      </c>
      <c r="D81">
        <v>49461975</v>
      </c>
      <c r="E81">
        <v>58</v>
      </c>
      <c r="F81">
        <v>1</v>
      </c>
      <c r="G81">
        <v>1</v>
      </c>
      <c r="H81">
        <v>3</v>
      </c>
      <c r="I81" t="s">
        <v>345</v>
      </c>
      <c r="K81" t="s">
        <v>346</v>
      </c>
      <c r="L81">
        <v>1327</v>
      </c>
      <c r="N81">
        <v>1005</v>
      </c>
      <c r="O81" t="s">
        <v>154</v>
      </c>
      <c r="P81" t="s">
        <v>154</v>
      </c>
      <c r="Q81">
        <v>1</v>
      </c>
      <c r="X81">
        <v>114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G81">
        <v>114</v>
      </c>
      <c r="AH81">
        <v>3</v>
      </c>
      <c r="AI81">
        <v>-1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ROW(Source!A83)</f>
        <v>83</v>
      </c>
      <c r="B82">
        <v>55655734</v>
      </c>
      <c r="C82">
        <v>55655718</v>
      </c>
      <c r="D82">
        <v>49461975</v>
      </c>
      <c r="E82">
        <v>58</v>
      </c>
      <c r="F82">
        <v>1</v>
      </c>
      <c r="G82">
        <v>1</v>
      </c>
      <c r="H82">
        <v>3</v>
      </c>
      <c r="I82" t="s">
        <v>345</v>
      </c>
      <c r="K82" t="s">
        <v>347</v>
      </c>
      <c r="L82">
        <v>1327</v>
      </c>
      <c r="N82">
        <v>1005</v>
      </c>
      <c r="O82" t="s">
        <v>154</v>
      </c>
      <c r="P82" t="s">
        <v>154</v>
      </c>
      <c r="Q82">
        <v>1</v>
      </c>
      <c r="X82">
        <v>116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G82">
        <v>116</v>
      </c>
      <c r="AH82">
        <v>3</v>
      </c>
      <c r="AI82">
        <v>-1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ROW(Source!A84)</f>
        <v>84</v>
      </c>
      <c r="B83">
        <v>55655727</v>
      </c>
      <c r="C83">
        <v>55655718</v>
      </c>
      <c r="D83">
        <v>49459419</v>
      </c>
      <c r="E83">
        <v>58</v>
      </c>
      <c r="F83">
        <v>1</v>
      </c>
      <c r="G83">
        <v>1</v>
      </c>
      <c r="H83">
        <v>1</v>
      </c>
      <c r="I83" t="s">
        <v>321</v>
      </c>
      <c r="K83" t="s">
        <v>322</v>
      </c>
      <c r="L83">
        <v>1191</v>
      </c>
      <c r="N83">
        <v>1013</v>
      </c>
      <c r="O83" t="s">
        <v>270</v>
      </c>
      <c r="P83" t="s">
        <v>270</v>
      </c>
      <c r="Q83">
        <v>1</v>
      </c>
      <c r="X83">
        <v>14.36</v>
      </c>
      <c r="Y83">
        <v>0</v>
      </c>
      <c r="Z83">
        <v>0</v>
      </c>
      <c r="AA83">
        <v>0</v>
      </c>
      <c r="AB83">
        <v>9.4</v>
      </c>
      <c r="AC83">
        <v>0</v>
      </c>
      <c r="AD83">
        <v>1</v>
      </c>
      <c r="AE83">
        <v>1</v>
      </c>
      <c r="AF83" t="s">
        <v>118</v>
      </c>
      <c r="AG83">
        <v>16.514</v>
      </c>
      <c r="AH83">
        <v>2</v>
      </c>
      <c r="AI83">
        <v>55655719</v>
      </c>
      <c r="AJ83">
        <v>79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ROW(Source!A84)</f>
        <v>84</v>
      </c>
      <c r="B84">
        <v>55655728</v>
      </c>
      <c r="C84">
        <v>55655718</v>
      </c>
      <c r="D84">
        <v>49459566</v>
      </c>
      <c r="E84">
        <v>58</v>
      </c>
      <c r="F84">
        <v>1</v>
      </c>
      <c r="G84">
        <v>1</v>
      </c>
      <c r="H84">
        <v>1</v>
      </c>
      <c r="I84" t="s">
        <v>289</v>
      </c>
      <c r="K84" t="s">
        <v>278</v>
      </c>
      <c r="L84">
        <v>1191</v>
      </c>
      <c r="N84">
        <v>1013</v>
      </c>
      <c r="O84" t="s">
        <v>270</v>
      </c>
      <c r="P84" t="s">
        <v>270</v>
      </c>
      <c r="Q84">
        <v>1</v>
      </c>
      <c r="X84">
        <v>0.29</v>
      </c>
      <c r="Y84">
        <v>0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2</v>
      </c>
      <c r="AF84" t="s">
        <v>117</v>
      </c>
      <c r="AG84">
        <v>0.3625</v>
      </c>
      <c r="AH84">
        <v>2</v>
      </c>
      <c r="AI84">
        <v>55655720</v>
      </c>
      <c r="AJ84">
        <v>80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ROW(Source!A84)</f>
        <v>84</v>
      </c>
      <c r="B85">
        <v>55655729</v>
      </c>
      <c r="C85">
        <v>55655718</v>
      </c>
      <c r="D85">
        <v>49620286</v>
      </c>
      <c r="E85">
        <v>1</v>
      </c>
      <c r="F85">
        <v>1</v>
      </c>
      <c r="G85">
        <v>1</v>
      </c>
      <c r="H85">
        <v>2</v>
      </c>
      <c r="I85" t="s">
        <v>290</v>
      </c>
      <c r="J85" t="s">
        <v>291</v>
      </c>
      <c r="K85" t="s">
        <v>292</v>
      </c>
      <c r="L85">
        <v>1368</v>
      </c>
      <c r="N85">
        <v>1011</v>
      </c>
      <c r="O85" t="s">
        <v>274</v>
      </c>
      <c r="P85" t="s">
        <v>274</v>
      </c>
      <c r="Q85">
        <v>1</v>
      </c>
      <c r="X85">
        <v>0.15</v>
      </c>
      <c r="Y85">
        <v>0</v>
      </c>
      <c r="Z85">
        <v>86.4</v>
      </c>
      <c r="AA85">
        <v>13.5</v>
      </c>
      <c r="AB85">
        <v>0</v>
      </c>
      <c r="AC85">
        <v>0</v>
      </c>
      <c r="AD85">
        <v>1</v>
      </c>
      <c r="AE85">
        <v>0</v>
      </c>
      <c r="AF85" t="s">
        <v>117</v>
      </c>
      <c r="AG85">
        <v>0.1875</v>
      </c>
      <c r="AH85">
        <v>2</v>
      </c>
      <c r="AI85">
        <v>55655721</v>
      </c>
      <c r="AJ85">
        <v>81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ROW(Source!A84)</f>
        <v>84</v>
      </c>
      <c r="B86">
        <v>55655730</v>
      </c>
      <c r="C86">
        <v>55655718</v>
      </c>
      <c r="D86">
        <v>49620344</v>
      </c>
      <c r="E86">
        <v>1</v>
      </c>
      <c r="F86">
        <v>1</v>
      </c>
      <c r="G86">
        <v>1</v>
      </c>
      <c r="H86">
        <v>2</v>
      </c>
      <c r="I86" t="s">
        <v>323</v>
      </c>
      <c r="J86" t="s">
        <v>324</v>
      </c>
      <c r="K86" t="s">
        <v>325</v>
      </c>
      <c r="L86">
        <v>1368</v>
      </c>
      <c r="N86">
        <v>1011</v>
      </c>
      <c r="O86" t="s">
        <v>274</v>
      </c>
      <c r="P86" t="s">
        <v>274</v>
      </c>
      <c r="Q86">
        <v>1</v>
      </c>
      <c r="X86">
        <v>0.05</v>
      </c>
      <c r="Y86">
        <v>0</v>
      </c>
      <c r="Z86">
        <v>115.4</v>
      </c>
      <c r="AA86">
        <v>13.5</v>
      </c>
      <c r="AB86">
        <v>0</v>
      </c>
      <c r="AC86">
        <v>0</v>
      </c>
      <c r="AD86">
        <v>1</v>
      </c>
      <c r="AE86">
        <v>0</v>
      </c>
      <c r="AF86" t="s">
        <v>117</v>
      </c>
      <c r="AG86">
        <v>0.0625</v>
      </c>
      <c r="AH86">
        <v>2</v>
      </c>
      <c r="AI86">
        <v>55655722</v>
      </c>
      <c r="AJ86">
        <v>82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ROW(Source!A84)</f>
        <v>84</v>
      </c>
      <c r="B87">
        <v>55655731</v>
      </c>
      <c r="C87">
        <v>55655718</v>
      </c>
      <c r="D87">
        <v>49621268</v>
      </c>
      <c r="E87">
        <v>1</v>
      </c>
      <c r="F87">
        <v>1</v>
      </c>
      <c r="G87">
        <v>1</v>
      </c>
      <c r="H87">
        <v>2</v>
      </c>
      <c r="I87" t="s">
        <v>304</v>
      </c>
      <c r="J87" t="s">
        <v>305</v>
      </c>
      <c r="K87" t="s">
        <v>306</v>
      </c>
      <c r="L87">
        <v>1368</v>
      </c>
      <c r="N87">
        <v>1011</v>
      </c>
      <c r="O87" t="s">
        <v>274</v>
      </c>
      <c r="P87" t="s">
        <v>274</v>
      </c>
      <c r="Q87">
        <v>1</v>
      </c>
      <c r="X87">
        <v>0.09</v>
      </c>
      <c r="Y87">
        <v>0</v>
      </c>
      <c r="Z87">
        <v>65.71</v>
      </c>
      <c r="AA87">
        <v>11.6</v>
      </c>
      <c r="AB87">
        <v>0</v>
      </c>
      <c r="AC87">
        <v>0</v>
      </c>
      <c r="AD87">
        <v>1</v>
      </c>
      <c r="AE87">
        <v>0</v>
      </c>
      <c r="AF87" t="s">
        <v>117</v>
      </c>
      <c r="AG87">
        <v>0.11249999999999999</v>
      </c>
      <c r="AH87">
        <v>2</v>
      </c>
      <c r="AI87">
        <v>55655723</v>
      </c>
      <c r="AJ87">
        <v>83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ROW(Source!A84)</f>
        <v>84</v>
      </c>
      <c r="B88">
        <v>55655732</v>
      </c>
      <c r="C88">
        <v>55655718</v>
      </c>
      <c r="D88">
        <v>49470012</v>
      </c>
      <c r="E88">
        <v>1</v>
      </c>
      <c r="F88">
        <v>1</v>
      </c>
      <c r="G88">
        <v>1</v>
      </c>
      <c r="H88">
        <v>3</v>
      </c>
      <c r="I88" t="s">
        <v>326</v>
      </c>
      <c r="J88" t="s">
        <v>327</v>
      </c>
      <c r="K88" t="s">
        <v>328</v>
      </c>
      <c r="L88">
        <v>1346</v>
      </c>
      <c r="N88">
        <v>1009</v>
      </c>
      <c r="O88" t="s">
        <v>329</v>
      </c>
      <c r="P88" t="s">
        <v>329</v>
      </c>
      <c r="Q88">
        <v>1</v>
      </c>
      <c r="X88">
        <v>29.94</v>
      </c>
      <c r="Y88">
        <v>6.09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G88">
        <v>29.94</v>
      </c>
      <c r="AH88">
        <v>2</v>
      </c>
      <c r="AI88">
        <v>55655724</v>
      </c>
      <c r="AJ88">
        <v>84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ROW(Source!A84)</f>
        <v>84</v>
      </c>
      <c r="B89">
        <v>55655733</v>
      </c>
      <c r="C89">
        <v>55655718</v>
      </c>
      <c r="D89">
        <v>49461975</v>
      </c>
      <c r="E89">
        <v>58</v>
      </c>
      <c r="F89">
        <v>1</v>
      </c>
      <c r="G89">
        <v>1</v>
      </c>
      <c r="H89">
        <v>3</v>
      </c>
      <c r="I89" t="s">
        <v>345</v>
      </c>
      <c r="K89" t="s">
        <v>346</v>
      </c>
      <c r="L89">
        <v>1327</v>
      </c>
      <c r="N89">
        <v>1005</v>
      </c>
      <c r="O89" t="s">
        <v>154</v>
      </c>
      <c r="P89" t="s">
        <v>154</v>
      </c>
      <c r="Q89">
        <v>1</v>
      </c>
      <c r="X89">
        <v>114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G89">
        <v>114</v>
      </c>
      <c r="AH89">
        <v>3</v>
      </c>
      <c r="AI89">
        <v>-1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ROW(Source!A84)</f>
        <v>84</v>
      </c>
      <c r="B90">
        <v>55655734</v>
      </c>
      <c r="C90">
        <v>55655718</v>
      </c>
      <c r="D90">
        <v>49461975</v>
      </c>
      <c r="E90">
        <v>58</v>
      </c>
      <c r="F90">
        <v>1</v>
      </c>
      <c r="G90">
        <v>1</v>
      </c>
      <c r="H90">
        <v>3</v>
      </c>
      <c r="I90" t="s">
        <v>345</v>
      </c>
      <c r="K90" t="s">
        <v>347</v>
      </c>
      <c r="L90">
        <v>1327</v>
      </c>
      <c r="N90">
        <v>1005</v>
      </c>
      <c r="O90" t="s">
        <v>154</v>
      </c>
      <c r="P90" t="s">
        <v>154</v>
      </c>
      <c r="Q90">
        <v>1</v>
      </c>
      <c r="X90">
        <v>116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G90">
        <v>116</v>
      </c>
      <c r="AH90">
        <v>3</v>
      </c>
      <c r="AI90">
        <v>-1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ROW(Source!A89)</f>
        <v>89</v>
      </c>
      <c r="B91">
        <v>55667405</v>
      </c>
      <c r="C91">
        <v>55667404</v>
      </c>
      <c r="D91">
        <v>49459409</v>
      </c>
      <c r="E91">
        <v>58</v>
      </c>
      <c r="F91">
        <v>1</v>
      </c>
      <c r="G91">
        <v>1</v>
      </c>
      <c r="H91">
        <v>1</v>
      </c>
      <c r="I91" t="s">
        <v>330</v>
      </c>
      <c r="K91" t="s">
        <v>331</v>
      </c>
      <c r="L91">
        <v>1191</v>
      </c>
      <c r="N91">
        <v>1013</v>
      </c>
      <c r="O91" t="s">
        <v>270</v>
      </c>
      <c r="P91" t="s">
        <v>270</v>
      </c>
      <c r="Q91">
        <v>1</v>
      </c>
      <c r="X91">
        <v>35.5</v>
      </c>
      <c r="Y91">
        <v>0</v>
      </c>
      <c r="Z91">
        <v>0</v>
      </c>
      <c r="AA91">
        <v>0</v>
      </c>
      <c r="AB91">
        <v>9.18</v>
      </c>
      <c r="AC91">
        <v>0</v>
      </c>
      <c r="AD91">
        <v>1</v>
      </c>
      <c r="AE91">
        <v>1</v>
      </c>
      <c r="AF91" t="s">
        <v>118</v>
      </c>
      <c r="AG91">
        <v>40.824999999999996</v>
      </c>
      <c r="AH91">
        <v>2</v>
      </c>
      <c r="AI91">
        <v>55667405</v>
      </c>
      <c r="AJ91">
        <v>87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ROW(Source!A89)</f>
        <v>89</v>
      </c>
      <c r="B92">
        <v>55667406</v>
      </c>
      <c r="C92">
        <v>55667404</v>
      </c>
      <c r="D92">
        <v>49459566</v>
      </c>
      <c r="E92">
        <v>58</v>
      </c>
      <c r="F92">
        <v>1</v>
      </c>
      <c r="G92">
        <v>1</v>
      </c>
      <c r="H92">
        <v>1</v>
      </c>
      <c r="I92" t="s">
        <v>289</v>
      </c>
      <c r="K92" t="s">
        <v>278</v>
      </c>
      <c r="L92">
        <v>1191</v>
      </c>
      <c r="N92">
        <v>1013</v>
      </c>
      <c r="O92" t="s">
        <v>270</v>
      </c>
      <c r="P92" t="s">
        <v>270</v>
      </c>
      <c r="Q92">
        <v>1</v>
      </c>
      <c r="X92">
        <v>0.86</v>
      </c>
      <c r="Y92">
        <v>0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2</v>
      </c>
      <c r="AF92" t="s">
        <v>117</v>
      </c>
      <c r="AG92">
        <v>1.075</v>
      </c>
      <c r="AH92">
        <v>2</v>
      </c>
      <c r="AI92">
        <v>55667406</v>
      </c>
      <c r="AJ92">
        <v>88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ROW(Source!A89)</f>
        <v>89</v>
      </c>
      <c r="B93">
        <v>55667407</v>
      </c>
      <c r="C93">
        <v>55667404</v>
      </c>
      <c r="D93">
        <v>49620286</v>
      </c>
      <c r="E93">
        <v>1</v>
      </c>
      <c r="F93">
        <v>1</v>
      </c>
      <c r="G93">
        <v>1</v>
      </c>
      <c r="H93">
        <v>2</v>
      </c>
      <c r="I93" t="s">
        <v>290</v>
      </c>
      <c r="J93" t="s">
        <v>291</v>
      </c>
      <c r="K93" t="s">
        <v>292</v>
      </c>
      <c r="L93">
        <v>1368</v>
      </c>
      <c r="N93">
        <v>1011</v>
      </c>
      <c r="O93" t="s">
        <v>274</v>
      </c>
      <c r="P93" t="s">
        <v>274</v>
      </c>
      <c r="Q93">
        <v>1</v>
      </c>
      <c r="X93">
        <v>0.61</v>
      </c>
      <c r="Y93">
        <v>0</v>
      </c>
      <c r="Z93">
        <v>86.4</v>
      </c>
      <c r="AA93">
        <v>13.5</v>
      </c>
      <c r="AB93">
        <v>0</v>
      </c>
      <c r="AC93">
        <v>0</v>
      </c>
      <c r="AD93">
        <v>1</v>
      </c>
      <c r="AE93">
        <v>0</v>
      </c>
      <c r="AF93" t="s">
        <v>117</v>
      </c>
      <c r="AG93">
        <v>0.7625</v>
      </c>
      <c r="AH93">
        <v>2</v>
      </c>
      <c r="AI93">
        <v>55667407</v>
      </c>
      <c r="AJ93">
        <v>89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ROW(Source!A89)</f>
        <v>89</v>
      </c>
      <c r="B94">
        <v>55667408</v>
      </c>
      <c r="C94">
        <v>55667404</v>
      </c>
      <c r="D94">
        <v>49620344</v>
      </c>
      <c r="E94">
        <v>1</v>
      </c>
      <c r="F94">
        <v>1</v>
      </c>
      <c r="G94">
        <v>1</v>
      </c>
      <c r="H94">
        <v>2</v>
      </c>
      <c r="I94" t="s">
        <v>323</v>
      </c>
      <c r="J94" t="s">
        <v>324</v>
      </c>
      <c r="K94" t="s">
        <v>325</v>
      </c>
      <c r="L94">
        <v>1368</v>
      </c>
      <c r="N94">
        <v>1011</v>
      </c>
      <c r="O94" t="s">
        <v>274</v>
      </c>
      <c r="P94" t="s">
        <v>274</v>
      </c>
      <c r="Q94">
        <v>1</v>
      </c>
      <c r="X94">
        <v>0.1</v>
      </c>
      <c r="Y94">
        <v>0</v>
      </c>
      <c r="Z94">
        <v>115.4</v>
      </c>
      <c r="AA94">
        <v>13.5</v>
      </c>
      <c r="AB94">
        <v>0</v>
      </c>
      <c r="AC94">
        <v>0</v>
      </c>
      <c r="AD94">
        <v>1</v>
      </c>
      <c r="AE94">
        <v>0</v>
      </c>
      <c r="AF94" t="s">
        <v>117</v>
      </c>
      <c r="AG94">
        <v>0.125</v>
      </c>
      <c r="AH94">
        <v>2</v>
      </c>
      <c r="AI94">
        <v>55667408</v>
      </c>
      <c r="AJ94">
        <v>90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ROW(Source!A89)</f>
        <v>89</v>
      </c>
      <c r="B95">
        <v>55667409</v>
      </c>
      <c r="C95">
        <v>55667404</v>
      </c>
      <c r="D95">
        <v>49621268</v>
      </c>
      <c r="E95">
        <v>1</v>
      </c>
      <c r="F95">
        <v>1</v>
      </c>
      <c r="G95">
        <v>1</v>
      </c>
      <c r="H95">
        <v>2</v>
      </c>
      <c r="I95" t="s">
        <v>304</v>
      </c>
      <c r="J95" t="s">
        <v>305</v>
      </c>
      <c r="K95" t="s">
        <v>306</v>
      </c>
      <c r="L95">
        <v>1368</v>
      </c>
      <c r="N95">
        <v>1011</v>
      </c>
      <c r="O95" t="s">
        <v>274</v>
      </c>
      <c r="P95" t="s">
        <v>274</v>
      </c>
      <c r="Q95">
        <v>1</v>
      </c>
      <c r="X95">
        <v>0.15</v>
      </c>
      <c r="Y95">
        <v>0</v>
      </c>
      <c r="Z95">
        <v>65.71</v>
      </c>
      <c r="AA95">
        <v>11.6</v>
      </c>
      <c r="AB95">
        <v>0</v>
      </c>
      <c r="AC95">
        <v>0</v>
      </c>
      <c r="AD95">
        <v>1</v>
      </c>
      <c r="AE95">
        <v>0</v>
      </c>
      <c r="AF95" t="s">
        <v>117</v>
      </c>
      <c r="AG95">
        <v>0.1875</v>
      </c>
      <c r="AH95">
        <v>2</v>
      </c>
      <c r="AI95">
        <v>55667409</v>
      </c>
      <c r="AJ95">
        <v>91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ROW(Source!A89)</f>
        <v>89</v>
      </c>
      <c r="B96">
        <v>55667410</v>
      </c>
      <c r="C96">
        <v>55667404</v>
      </c>
      <c r="D96">
        <v>49470012</v>
      </c>
      <c r="E96">
        <v>1</v>
      </c>
      <c r="F96">
        <v>1</v>
      </c>
      <c r="G96">
        <v>1</v>
      </c>
      <c r="H96">
        <v>3</v>
      </c>
      <c r="I96" t="s">
        <v>326</v>
      </c>
      <c r="J96" t="s">
        <v>327</v>
      </c>
      <c r="K96" t="s">
        <v>328</v>
      </c>
      <c r="L96">
        <v>1346</v>
      </c>
      <c r="N96">
        <v>1009</v>
      </c>
      <c r="O96" t="s">
        <v>329</v>
      </c>
      <c r="P96" t="s">
        <v>329</v>
      </c>
      <c r="Q96">
        <v>1</v>
      </c>
      <c r="X96">
        <v>32.49</v>
      </c>
      <c r="Y96">
        <v>6.09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G96">
        <v>32.49</v>
      </c>
      <c r="AH96">
        <v>2</v>
      </c>
      <c r="AI96">
        <v>55667410</v>
      </c>
      <c r="AJ96">
        <v>92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ROW(Source!A89)</f>
        <v>89</v>
      </c>
      <c r="B97">
        <v>55667411</v>
      </c>
      <c r="C97">
        <v>55667404</v>
      </c>
      <c r="D97">
        <v>49476762</v>
      </c>
      <c r="E97">
        <v>1</v>
      </c>
      <c r="F97">
        <v>1</v>
      </c>
      <c r="G97">
        <v>1</v>
      </c>
      <c r="H97">
        <v>3</v>
      </c>
      <c r="I97" t="s">
        <v>332</v>
      </c>
      <c r="J97" t="s">
        <v>333</v>
      </c>
      <c r="K97" t="s">
        <v>334</v>
      </c>
      <c r="L97">
        <v>1339</v>
      </c>
      <c r="N97">
        <v>1007</v>
      </c>
      <c r="O97" t="s">
        <v>50</v>
      </c>
      <c r="P97" t="s">
        <v>50</v>
      </c>
      <c r="Q97">
        <v>1</v>
      </c>
      <c r="X97">
        <v>0.51</v>
      </c>
      <c r="Y97">
        <v>519.8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G97">
        <v>0.51</v>
      </c>
      <c r="AH97">
        <v>2</v>
      </c>
      <c r="AI97">
        <v>55667411</v>
      </c>
      <c r="AJ97">
        <v>93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ROW(Source!A89)</f>
        <v>89</v>
      </c>
      <c r="B98">
        <v>55667412</v>
      </c>
      <c r="C98">
        <v>55667404</v>
      </c>
      <c r="D98">
        <v>49461978</v>
      </c>
      <c r="E98">
        <v>58</v>
      </c>
      <c r="F98">
        <v>1</v>
      </c>
      <c r="G98">
        <v>1</v>
      </c>
      <c r="H98">
        <v>3</v>
      </c>
      <c r="I98" t="s">
        <v>345</v>
      </c>
      <c r="K98" t="s">
        <v>348</v>
      </c>
      <c r="L98">
        <v>1327</v>
      </c>
      <c r="N98">
        <v>1005</v>
      </c>
      <c r="O98" t="s">
        <v>154</v>
      </c>
      <c r="P98" t="s">
        <v>154</v>
      </c>
      <c r="Q98">
        <v>1</v>
      </c>
      <c r="X98">
        <v>252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G98">
        <v>252</v>
      </c>
      <c r="AH98">
        <v>3</v>
      </c>
      <c r="AI98">
        <v>-1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ROW(Source!A90)</f>
        <v>90</v>
      </c>
      <c r="B99">
        <v>55667405</v>
      </c>
      <c r="C99">
        <v>55667404</v>
      </c>
      <c r="D99">
        <v>49459409</v>
      </c>
      <c r="E99">
        <v>58</v>
      </c>
      <c r="F99">
        <v>1</v>
      </c>
      <c r="G99">
        <v>1</v>
      </c>
      <c r="H99">
        <v>1</v>
      </c>
      <c r="I99" t="s">
        <v>330</v>
      </c>
      <c r="K99" t="s">
        <v>331</v>
      </c>
      <c r="L99">
        <v>1191</v>
      </c>
      <c r="N99">
        <v>1013</v>
      </c>
      <c r="O99" t="s">
        <v>270</v>
      </c>
      <c r="P99" t="s">
        <v>270</v>
      </c>
      <c r="Q99">
        <v>1</v>
      </c>
      <c r="X99">
        <v>35.5</v>
      </c>
      <c r="Y99">
        <v>0</v>
      </c>
      <c r="Z99">
        <v>0</v>
      </c>
      <c r="AA99">
        <v>0</v>
      </c>
      <c r="AB99">
        <v>9.18</v>
      </c>
      <c r="AC99">
        <v>0</v>
      </c>
      <c r="AD99">
        <v>1</v>
      </c>
      <c r="AE99">
        <v>1</v>
      </c>
      <c r="AF99" t="s">
        <v>118</v>
      </c>
      <c r="AG99">
        <v>40.824999999999996</v>
      </c>
      <c r="AH99">
        <v>2</v>
      </c>
      <c r="AI99">
        <v>55667405</v>
      </c>
      <c r="AJ99">
        <v>96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ROW(Source!A90)</f>
        <v>90</v>
      </c>
      <c r="B100">
        <v>55667406</v>
      </c>
      <c r="C100">
        <v>55667404</v>
      </c>
      <c r="D100">
        <v>49459566</v>
      </c>
      <c r="E100">
        <v>58</v>
      </c>
      <c r="F100">
        <v>1</v>
      </c>
      <c r="G100">
        <v>1</v>
      </c>
      <c r="H100">
        <v>1</v>
      </c>
      <c r="I100" t="s">
        <v>289</v>
      </c>
      <c r="K100" t="s">
        <v>278</v>
      </c>
      <c r="L100">
        <v>1191</v>
      </c>
      <c r="N100">
        <v>1013</v>
      </c>
      <c r="O100" t="s">
        <v>270</v>
      </c>
      <c r="P100" t="s">
        <v>270</v>
      </c>
      <c r="Q100">
        <v>1</v>
      </c>
      <c r="X100">
        <v>0.86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2</v>
      </c>
      <c r="AF100" t="s">
        <v>117</v>
      </c>
      <c r="AG100">
        <v>1.075</v>
      </c>
      <c r="AH100">
        <v>2</v>
      </c>
      <c r="AI100">
        <v>55667406</v>
      </c>
      <c r="AJ100">
        <v>97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ROW(Source!A90)</f>
        <v>90</v>
      </c>
      <c r="B101">
        <v>55667407</v>
      </c>
      <c r="C101">
        <v>55667404</v>
      </c>
      <c r="D101">
        <v>49620286</v>
      </c>
      <c r="E101">
        <v>1</v>
      </c>
      <c r="F101">
        <v>1</v>
      </c>
      <c r="G101">
        <v>1</v>
      </c>
      <c r="H101">
        <v>2</v>
      </c>
      <c r="I101" t="s">
        <v>290</v>
      </c>
      <c r="J101" t="s">
        <v>291</v>
      </c>
      <c r="K101" t="s">
        <v>292</v>
      </c>
      <c r="L101">
        <v>1368</v>
      </c>
      <c r="N101">
        <v>1011</v>
      </c>
      <c r="O101" t="s">
        <v>274</v>
      </c>
      <c r="P101" t="s">
        <v>274</v>
      </c>
      <c r="Q101">
        <v>1</v>
      </c>
      <c r="X101">
        <v>0.61</v>
      </c>
      <c r="Y101">
        <v>0</v>
      </c>
      <c r="Z101">
        <v>86.4</v>
      </c>
      <c r="AA101">
        <v>13.5</v>
      </c>
      <c r="AB101">
        <v>0</v>
      </c>
      <c r="AC101">
        <v>0</v>
      </c>
      <c r="AD101">
        <v>1</v>
      </c>
      <c r="AE101">
        <v>0</v>
      </c>
      <c r="AF101" t="s">
        <v>117</v>
      </c>
      <c r="AG101">
        <v>0.7625</v>
      </c>
      <c r="AH101">
        <v>2</v>
      </c>
      <c r="AI101">
        <v>55667407</v>
      </c>
      <c r="AJ101">
        <v>98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ROW(Source!A90)</f>
        <v>90</v>
      </c>
      <c r="B102">
        <v>55667408</v>
      </c>
      <c r="C102">
        <v>55667404</v>
      </c>
      <c r="D102">
        <v>49620344</v>
      </c>
      <c r="E102">
        <v>1</v>
      </c>
      <c r="F102">
        <v>1</v>
      </c>
      <c r="G102">
        <v>1</v>
      </c>
      <c r="H102">
        <v>2</v>
      </c>
      <c r="I102" t="s">
        <v>323</v>
      </c>
      <c r="J102" t="s">
        <v>324</v>
      </c>
      <c r="K102" t="s">
        <v>325</v>
      </c>
      <c r="L102">
        <v>1368</v>
      </c>
      <c r="N102">
        <v>1011</v>
      </c>
      <c r="O102" t="s">
        <v>274</v>
      </c>
      <c r="P102" t="s">
        <v>274</v>
      </c>
      <c r="Q102">
        <v>1</v>
      </c>
      <c r="X102">
        <v>0.1</v>
      </c>
      <c r="Y102">
        <v>0</v>
      </c>
      <c r="Z102">
        <v>115.4</v>
      </c>
      <c r="AA102">
        <v>13.5</v>
      </c>
      <c r="AB102">
        <v>0</v>
      </c>
      <c r="AC102">
        <v>0</v>
      </c>
      <c r="AD102">
        <v>1</v>
      </c>
      <c r="AE102">
        <v>0</v>
      </c>
      <c r="AF102" t="s">
        <v>117</v>
      </c>
      <c r="AG102">
        <v>0.125</v>
      </c>
      <c r="AH102">
        <v>2</v>
      </c>
      <c r="AI102">
        <v>55667408</v>
      </c>
      <c r="AJ102">
        <v>99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ROW(Source!A90)</f>
        <v>90</v>
      </c>
      <c r="B103">
        <v>55667409</v>
      </c>
      <c r="C103">
        <v>55667404</v>
      </c>
      <c r="D103">
        <v>49621268</v>
      </c>
      <c r="E103">
        <v>1</v>
      </c>
      <c r="F103">
        <v>1</v>
      </c>
      <c r="G103">
        <v>1</v>
      </c>
      <c r="H103">
        <v>2</v>
      </c>
      <c r="I103" t="s">
        <v>304</v>
      </c>
      <c r="J103" t="s">
        <v>305</v>
      </c>
      <c r="K103" t="s">
        <v>306</v>
      </c>
      <c r="L103">
        <v>1368</v>
      </c>
      <c r="N103">
        <v>1011</v>
      </c>
      <c r="O103" t="s">
        <v>274</v>
      </c>
      <c r="P103" t="s">
        <v>274</v>
      </c>
      <c r="Q103">
        <v>1</v>
      </c>
      <c r="X103">
        <v>0.15</v>
      </c>
      <c r="Y103">
        <v>0</v>
      </c>
      <c r="Z103">
        <v>65.71</v>
      </c>
      <c r="AA103">
        <v>11.6</v>
      </c>
      <c r="AB103">
        <v>0</v>
      </c>
      <c r="AC103">
        <v>0</v>
      </c>
      <c r="AD103">
        <v>1</v>
      </c>
      <c r="AE103">
        <v>0</v>
      </c>
      <c r="AF103" t="s">
        <v>117</v>
      </c>
      <c r="AG103">
        <v>0.1875</v>
      </c>
      <c r="AH103">
        <v>2</v>
      </c>
      <c r="AI103">
        <v>55667409</v>
      </c>
      <c r="AJ103">
        <v>100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ROW(Source!A90)</f>
        <v>90</v>
      </c>
      <c r="B104">
        <v>55667410</v>
      </c>
      <c r="C104">
        <v>55667404</v>
      </c>
      <c r="D104">
        <v>49470012</v>
      </c>
      <c r="E104">
        <v>1</v>
      </c>
      <c r="F104">
        <v>1</v>
      </c>
      <c r="G104">
        <v>1</v>
      </c>
      <c r="H104">
        <v>3</v>
      </c>
      <c r="I104" t="s">
        <v>326</v>
      </c>
      <c r="J104" t="s">
        <v>327</v>
      </c>
      <c r="K104" t="s">
        <v>328</v>
      </c>
      <c r="L104">
        <v>1346</v>
      </c>
      <c r="N104">
        <v>1009</v>
      </c>
      <c r="O104" t="s">
        <v>329</v>
      </c>
      <c r="P104" t="s">
        <v>329</v>
      </c>
      <c r="Q104">
        <v>1</v>
      </c>
      <c r="X104">
        <v>32.49</v>
      </c>
      <c r="Y104">
        <v>6.09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G104">
        <v>32.49</v>
      </c>
      <c r="AH104">
        <v>2</v>
      </c>
      <c r="AI104">
        <v>55667410</v>
      </c>
      <c r="AJ104">
        <v>101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ROW(Source!A90)</f>
        <v>90</v>
      </c>
      <c r="B105">
        <v>55667411</v>
      </c>
      <c r="C105">
        <v>55667404</v>
      </c>
      <c r="D105">
        <v>49476762</v>
      </c>
      <c r="E105">
        <v>1</v>
      </c>
      <c r="F105">
        <v>1</v>
      </c>
      <c r="G105">
        <v>1</v>
      </c>
      <c r="H105">
        <v>3</v>
      </c>
      <c r="I105" t="s">
        <v>332</v>
      </c>
      <c r="J105" t="s">
        <v>333</v>
      </c>
      <c r="K105" t="s">
        <v>334</v>
      </c>
      <c r="L105">
        <v>1339</v>
      </c>
      <c r="N105">
        <v>1007</v>
      </c>
      <c r="O105" t="s">
        <v>50</v>
      </c>
      <c r="P105" t="s">
        <v>50</v>
      </c>
      <c r="Q105">
        <v>1</v>
      </c>
      <c r="X105">
        <v>0.51</v>
      </c>
      <c r="Y105">
        <v>519.8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G105">
        <v>0.51</v>
      </c>
      <c r="AH105">
        <v>2</v>
      </c>
      <c r="AI105">
        <v>55667411</v>
      </c>
      <c r="AJ105">
        <v>102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ROW(Source!A90)</f>
        <v>90</v>
      </c>
      <c r="B106">
        <v>55667412</v>
      </c>
      <c r="C106">
        <v>55667404</v>
      </c>
      <c r="D106">
        <v>49461978</v>
      </c>
      <c r="E106">
        <v>58</v>
      </c>
      <c r="F106">
        <v>1</v>
      </c>
      <c r="G106">
        <v>1</v>
      </c>
      <c r="H106">
        <v>3</v>
      </c>
      <c r="I106" t="s">
        <v>345</v>
      </c>
      <c r="K106" t="s">
        <v>348</v>
      </c>
      <c r="L106">
        <v>1327</v>
      </c>
      <c r="N106">
        <v>1005</v>
      </c>
      <c r="O106" t="s">
        <v>154</v>
      </c>
      <c r="P106" t="s">
        <v>154</v>
      </c>
      <c r="Q106">
        <v>1</v>
      </c>
      <c r="X106">
        <v>252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G106">
        <v>252</v>
      </c>
      <c r="AH106">
        <v>3</v>
      </c>
      <c r="AI106">
        <v>-1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ROW(Source!A130)</f>
        <v>130</v>
      </c>
      <c r="B107">
        <v>55655839</v>
      </c>
      <c r="C107">
        <v>55655836</v>
      </c>
      <c r="D107">
        <v>44800161</v>
      </c>
      <c r="E107">
        <v>54</v>
      </c>
      <c r="F107">
        <v>1</v>
      </c>
      <c r="G107">
        <v>1</v>
      </c>
      <c r="H107">
        <v>1</v>
      </c>
      <c r="I107" t="s">
        <v>335</v>
      </c>
      <c r="K107" t="s">
        <v>336</v>
      </c>
      <c r="L107">
        <v>1191</v>
      </c>
      <c r="N107">
        <v>1013</v>
      </c>
      <c r="O107" t="s">
        <v>270</v>
      </c>
      <c r="P107" t="s">
        <v>270</v>
      </c>
      <c r="Q107">
        <v>1</v>
      </c>
      <c r="X107">
        <v>1.03</v>
      </c>
      <c r="Y107">
        <v>0</v>
      </c>
      <c r="Z107">
        <v>0</v>
      </c>
      <c r="AA107">
        <v>0</v>
      </c>
      <c r="AB107">
        <v>7.19</v>
      </c>
      <c r="AC107">
        <v>0</v>
      </c>
      <c r="AD107">
        <v>1</v>
      </c>
      <c r="AE107">
        <v>1</v>
      </c>
      <c r="AG107">
        <v>1.03</v>
      </c>
      <c r="AH107">
        <v>2</v>
      </c>
      <c r="AI107">
        <v>55655837</v>
      </c>
      <c r="AJ107">
        <v>105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ROW(Source!A130)</f>
        <v>130</v>
      </c>
      <c r="B108">
        <v>55655840</v>
      </c>
      <c r="C108">
        <v>55655836</v>
      </c>
      <c r="D108">
        <v>44816375</v>
      </c>
      <c r="E108">
        <v>1</v>
      </c>
      <c r="F108">
        <v>1</v>
      </c>
      <c r="G108">
        <v>1</v>
      </c>
      <c r="H108">
        <v>3</v>
      </c>
      <c r="I108" t="s">
        <v>337</v>
      </c>
      <c r="J108" t="s">
        <v>338</v>
      </c>
      <c r="K108" t="s">
        <v>339</v>
      </c>
      <c r="L108">
        <v>1425</v>
      </c>
      <c r="N108">
        <v>1013</v>
      </c>
      <c r="O108" t="s">
        <v>340</v>
      </c>
      <c r="P108" t="s">
        <v>340</v>
      </c>
      <c r="Q108">
        <v>1</v>
      </c>
      <c r="X108">
        <v>0.2</v>
      </c>
      <c r="Y108">
        <v>82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G108">
        <v>0.2</v>
      </c>
      <c r="AH108">
        <v>2</v>
      </c>
      <c r="AI108">
        <v>55655838</v>
      </c>
      <c r="AJ108">
        <v>106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ROW(Source!A131)</f>
        <v>131</v>
      </c>
      <c r="B109">
        <v>55655839</v>
      </c>
      <c r="C109">
        <v>55655836</v>
      </c>
      <c r="D109">
        <v>44800161</v>
      </c>
      <c r="E109">
        <v>54</v>
      </c>
      <c r="F109">
        <v>1</v>
      </c>
      <c r="G109">
        <v>1</v>
      </c>
      <c r="H109">
        <v>1</v>
      </c>
      <c r="I109" t="s">
        <v>335</v>
      </c>
      <c r="K109" t="s">
        <v>336</v>
      </c>
      <c r="L109">
        <v>1191</v>
      </c>
      <c r="N109">
        <v>1013</v>
      </c>
      <c r="O109" t="s">
        <v>270</v>
      </c>
      <c r="P109" t="s">
        <v>270</v>
      </c>
      <c r="Q109">
        <v>1</v>
      </c>
      <c r="X109">
        <v>1.03</v>
      </c>
      <c r="Y109">
        <v>0</v>
      </c>
      <c r="Z109">
        <v>0</v>
      </c>
      <c r="AA109">
        <v>0</v>
      </c>
      <c r="AB109">
        <v>7.19</v>
      </c>
      <c r="AC109">
        <v>0</v>
      </c>
      <c r="AD109">
        <v>1</v>
      </c>
      <c r="AE109">
        <v>1</v>
      </c>
      <c r="AG109">
        <v>1.03</v>
      </c>
      <c r="AH109">
        <v>2</v>
      </c>
      <c r="AI109">
        <v>55655837</v>
      </c>
      <c r="AJ109">
        <v>107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ROW(Source!A131)</f>
        <v>131</v>
      </c>
      <c r="B110">
        <v>55655840</v>
      </c>
      <c r="C110">
        <v>55655836</v>
      </c>
      <c r="D110">
        <v>44816375</v>
      </c>
      <c r="E110">
        <v>1</v>
      </c>
      <c r="F110">
        <v>1</v>
      </c>
      <c r="G110">
        <v>1</v>
      </c>
      <c r="H110">
        <v>3</v>
      </c>
      <c r="I110" t="s">
        <v>337</v>
      </c>
      <c r="J110" t="s">
        <v>338</v>
      </c>
      <c r="K110" t="s">
        <v>339</v>
      </c>
      <c r="L110">
        <v>1425</v>
      </c>
      <c r="N110">
        <v>1013</v>
      </c>
      <c r="O110" t="s">
        <v>340</v>
      </c>
      <c r="P110" t="s">
        <v>340</v>
      </c>
      <c r="Q110">
        <v>1</v>
      </c>
      <c r="X110">
        <v>0.2</v>
      </c>
      <c r="Y110">
        <v>82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G110">
        <v>0.2</v>
      </c>
      <c r="AH110">
        <v>2</v>
      </c>
      <c r="AI110">
        <v>55655838</v>
      </c>
      <c r="AJ110">
        <v>108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Dmitriy</dc:creator>
  <cp:keywords/>
  <dc:description/>
  <cp:lastModifiedBy>Admin</cp:lastModifiedBy>
  <dcterms:created xsi:type="dcterms:W3CDTF">2023-08-31T11:30:22Z</dcterms:created>
  <dcterms:modified xsi:type="dcterms:W3CDTF">2023-09-18T07:29:35Z</dcterms:modified>
  <cp:category/>
  <cp:version/>
  <cp:contentType/>
  <cp:contentStatus/>
</cp:coreProperties>
</file>